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540" windowHeight="7005" tabRatio="625" activeTab="0"/>
  </bookViews>
  <sheets>
    <sheet name="1EllensCare" sheetId="1" r:id="rId1"/>
    <sheet name="2NoiseSources" sheetId="2" r:id="rId2"/>
    <sheet name="3LifetimeExposures" sheetId="3" r:id="rId3"/>
    <sheet name="4EightHrExposure" sheetId="4" state="hidden" r:id="rId4"/>
    <sheet name="Sheet2" sheetId="5" state="hidden" r:id="rId5"/>
    <sheet name="4PercentageExposure" sheetId="6" r:id="rId6"/>
    <sheet name="5HazardousExposures" sheetId="7" r:id="rId7"/>
    <sheet name="Sheet1" sheetId="8" state="hidden" r:id="rId8"/>
    <sheet name="6HearingLoss" sheetId="9" r:id="rId9"/>
    <sheet name="7ColateralInjuries" sheetId="10" r:id="rId10"/>
    <sheet name="8InterventionCost" sheetId="11" r:id="rId11"/>
    <sheet name="9ExposureHours" sheetId="12" r:id="rId12"/>
    <sheet name="10EarPlugEffectiveness" sheetId="13" r:id="rId13"/>
    <sheet name="11Probabilities" sheetId="14" r:id="rId14"/>
    <sheet name="11DecisionTree" sheetId="15" state="hidden" r:id="rId15"/>
    <sheet name="12Schedule" sheetId="16" r:id="rId16"/>
    <sheet name="17Discounting" sheetId="17" state="hidden" r:id="rId17"/>
    <sheet name="13NoiseSchedule" sheetId="18" r:id="rId18"/>
    <sheet name="14CostEffectiveness" sheetId="19" r:id="rId19"/>
    <sheet name="19BreakEven" sheetId="20" state="hidden" r:id="rId20"/>
    <sheet name="20BenefitCost" sheetId="21" state="hidden" r:id="rId21"/>
  </sheets>
  <definedNames>
    <definedName name="_xlnm.Print_Area" localSheetId="12">'10EarPlugEffectiveness'!$A$1:$E$53</definedName>
    <definedName name="_xlnm.Print_Area" localSheetId="14">'11DecisionTree'!$A$1:$T$42</definedName>
    <definedName name="_xlnm.Print_Area" localSheetId="13">'11Probabilities'!$A$1:$E$41</definedName>
    <definedName name="_xlnm.Print_Area" localSheetId="15">'12Schedule'!$A$1:$H$38</definedName>
    <definedName name="_xlnm.Print_Area" localSheetId="18">'14CostEffectiveness'!$A$1:$H$51</definedName>
    <definedName name="_xlnm.Print_Area" localSheetId="0">'1EllensCare'!$A$1:$K$48</definedName>
    <definedName name="_xlnm.Print_Area" localSheetId="10">'8InterventionCost'!$A$1:$J$51</definedName>
    <definedName name="_xlnm.Print_Area" localSheetId="11">'9ExposureHours'!$A$1:$F$51</definedName>
  </definedNames>
  <calcPr fullCalcOnLoad="1"/>
</workbook>
</file>

<file path=xl/comments10.xml><?xml version="1.0" encoding="utf-8"?>
<comments xmlns="http://schemas.openxmlformats.org/spreadsheetml/2006/main">
  <authors>
    <author>Melvin Myers</author>
  </authors>
  <commentList>
    <comment ref="C3" authorId="0">
      <text>
        <r>
          <rPr>
            <b/>
            <sz val="8"/>
            <rFont val="Tahoma"/>
            <family val="0"/>
          </rPr>
          <t>The effect of hearing loss on the injury rate</t>
        </r>
      </text>
    </comment>
  </commentList>
</comments>
</file>

<file path=xl/comments12.xml><?xml version="1.0" encoding="utf-8"?>
<comments xmlns="http://schemas.openxmlformats.org/spreadsheetml/2006/main">
  <authors>
    <author>Melvin Myers</author>
  </authors>
  <commentList>
    <comment ref="B3" authorId="0">
      <text>
        <r>
          <rPr>
            <b/>
            <sz val="8"/>
            <rFont val="Tahoma"/>
            <family val="0"/>
          </rPr>
          <t xml:space="preserve">This number is the product of 40 hours per week and 50 work weeks per year. There are 52 weeks in a year, but 2 weeks are allowed for vacation. </t>
        </r>
      </text>
    </comment>
  </commentList>
</comments>
</file>

<file path=xl/comments13.xml><?xml version="1.0" encoding="utf-8"?>
<comments xmlns="http://schemas.openxmlformats.org/spreadsheetml/2006/main">
  <authors>
    <author>Melvin Myers</author>
  </authors>
  <commentList>
    <comment ref="B9" authorId="0">
      <text>
        <r>
          <rPr>
            <b/>
            <sz val="8"/>
            <rFont val="Tahoma"/>
            <family val="0"/>
          </rPr>
          <t xml:space="preserve">Nonetheless, the earplugs are still valuable since the shotgun blast is for a short time, known as impulsive noise. The ear plugs also decrease the exposure.  Ear muffs over earplugs can increase protection even more. </t>
        </r>
      </text>
    </comment>
  </commentList>
</comments>
</file>

<file path=xl/comments15.xml><?xml version="1.0" encoding="utf-8"?>
<comments xmlns="http://schemas.openxmlformats.org/spreadsheetml/2006/main">
  <authors>
    <author>Preferred Customer</author>
    <author>Melvin Myers</author>
  </authors>
  <commentList>
    <comment ref="I17" authorId="0">
      <text>
        <r>
          <rPr>
            <b/>
            <sz val="10"/>
            <rFont val="Tahoma"/>
            <family val="2"/>
          </rPr>
          <t>Note that this column of probilities adds up to 1.</t>
        </r>
      </text>
    </comment>
    <comment ref="I40" authorId="0">
      <text>
        <r>
          <rPr>
            <b/>
            <sz val="8"/>
            <rFont val="Tahoma"/>
            <family val="0"/>
          </rPr>
          <t xml:space="preserve">Note that this column of probabilties adds up t 1. </t>
        </r>
      </text>
    </comment>
    <comment ref="F20" authorId="0">
      <text>
        <r>
          <rPr>
            <b/>
            <sz val="8"/>
            <rFont val="Tahoma"/>
            <family val="0"/>
          </rPr>
          <t>This value is equal to 1 minus the probability of an overturn.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This value is the result of 1 minus the probability of an overturn. </t>
        </r>
      </text>
    </comment>
    <comment ref="Q3" authorId="1">
      <text>
        <r>
          <rPr>
            <b/>
            <sz val="12"/>
            <rFont val="Tahoma"/>
            <family val="2"/>
          </rPr>
          <t>Probabilities sum to the number, 1.</t>
        </r>
      </text>
    </comment>
  </commentList>
</comments>
</file>

<file path=xl/comments16.xml><?xml version="1.0" encoding="utf-8"?>
<comments xmlns="http://schemas.openxmlformats.org/spreadsheetml/2006/main">
  <authors>
    <author>Melvin Myers</author>
  </authors>
  <commentList>
    <comment ref="B13" authorId="0">
      <text>
        <r>
          <rPr>
            <b/>
            <sz val="8"/>
            <rFont val="Tahoma"/>
            <family val="0"/>
          </rPr>
          <t xml:space="preserve">Place this figure into the "Inflation Calculator" at the web site. </t>
        </r>
      </text>
    </comment>
  </commentList>
</comments>
</file>

<file path=xl/comments17.xml><?xml version="1.0" encoding="utf-8"?>
<comments xmlns="http://schemas.openxmlformats.org/spreadsheetml/2006/main">
  <authors>
    <author>Preferred Customer</author>
    <author>Melvin Myers</author>
  </authors>
  <commentList>
    <comment ref="A14" authorId="0">
      <text>
        <r>
          <rPr>
            <b/>
            <sz val="8"/>
            <rFont val="Tahoma"/>
            <family val="0"/>
          </rPr>
          <t>When used in a calculation involving discounting, this number is also discounted.</t>
        </r>
      </text>
    </comment>
    <comment ref="C2" authorId="1">
      <text>
        <r>
          <rPr>
            <b/>
            <sz val="8"/>
            <rFont val="Tahoma"/>
            <family val="0"/>
          </rPr>
          <t xml:space="preserve">The accepted "social" discount rate is 3%. </t>
        </r>
      </text>
    </comment>
    <comment ref="C4" authorId="1">
      <text>
        <r>
          <rPr>
            <b/>
            <sz val="8"/>
            <rFont val="Tahoma"/>
            <family val="0"/>
          </rPr>
          <t xml:space="preserve">Assume 60 years expected remaining lifetime of the victim. </t>
        </r>
      </text>
    </comment>
  </commentList>
</comments>
</file>

<file path=xl/comments18.xml><?xml version="1.0" encoding="utf-8"?>
<comments xmlns="http://schemas.openxmlformats.org/spreadsheetml/2006/main">
  <authors>
    <author>Melvin Myers</author>
  </authors>
  <commentList>
    <comment ref="C23" authorId="0">
      <text>
        <r>
          <rPr>
            <b/>
            <sz val="8"/>
            <rFont val="Tahoma"/>
            <family val="0"/>
          </rPr>
          <t xml:space="preserve">Place this figure into the "Inflation Calculator" at the web site. </t>
        </r>
      </text>
    </comment>
    <comment ref="C21" authorId="0">
      <text>
        <r>
          <rPr>
            <b/>
            <sz val="8"/>
            <rFont val="Tahoma"/>
            <family val="0"/>
          </rPr>
          <t>This is the lifetime cost for a person that is hearing impaired at childhood. The next worksheet will adjust this total for age when hearing loss is associated with work.</t>
        </r>
      </text>
    </comment>
    <comment ref="D21" authorId="0">
      <text>
        <r>
          <rPr>
            <b/>
            <sz val="8"/>
            <rFont val="Tahoma"/>
            <family val="0"/>
          </rPr>
          <t>This is the lifetime cost for a person that is hearing impaired at childhood. The next worksheet will adjust this total for age when hearing loss is associated with work.</t>
        </r>
      </text>
    </comment>
    <comment ref="F12" authorId="0">
      <text>
        <r>
          <rPr>
            <b/>
            <sz val="8"/>
            <rFont val="Tahoma"/>
            <family val="0"/>
          </rPr>
          <t>use lower case letters</t>
        </r>
      </text>
    </comment>
  </commentList>
</comments>
</file>

<file path=xl/comments19.xml><?xml version="1.0" encoding="utf-8"?>
<comments xmlns="http://schemas.openxmlformats.org/spreadsheetml/2006/main">
  <authors>
    <author>Preferred Customer</author>
    <author>Melvin Myers</author>
  </authors>
  <commentList>
    <comment ref="B30" authorId="0">
      <text>
        <r>
          <rPr>
            <b/>
            <sz val="8"/>
            <rFont val="Tahoma"/>
            <family val="0"/>
          </rPr>
          <t>Net cost/injury total</t>
        </r>
      </text>
    </comment>
    <comment ref="B2" authorId="1">
      <text>
        <r>
          <rPr>
            <b/>
            <sz val="12"/>
            <rFont val="Tahoma"/>
            <family val="2"/>
          </rPr>
          <t>Slide scroll bar to enter age of noise impaired worker.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Noise exposure is assumed to start 7 years earlier at age 17.  It takes this long to accumulate 25 dB of hearing loss without earplugs. </t>
        </r>
      </text>
    </comment>
  </commentList>
</comments>
</file>

<file path=xl/comments20.xml><?xml version="1.0" encoding="utf-8"?>
<comments xmlns="http://schemas.openxmlformats.org/spreadsheetml/2006/main">
  <authors>
    <author>Preferred Customer</author>
    <author>Melvin Myers</author>
  </authors>
  <commentList>
    <comment ref="A11" authorId="0">
      <text>
        <r>
          <rPr>
            <b/>
            <sz val="8"/>
            <rFont val="Tahoma"/>
            <family val="0"/>
          </rPr>
          <t>Number of years for the investment to equal the potential benefits.</t>
        </r>
      </text>
    </comment>
    <comment ref="B11" authorId="0">
      <text>
        <r>
          <rPr>
            <b/>
            <sz val="8"/>
            <rFont val="Tahoma"/>
            <family val="0"/>
          </rPr>
          <t>Intervention cost/ sum of injury costs (benefit) per year</t>
        </r>
      </text>
    </comment>
    <comment ref="C14" authorId="1">
      <text>
        <r>
          <rPr>
            <b/>
            <sz val="8"/>
            <rFont val="Tahoma"/>
            <family val="0"/>
          </rPr>
          <t>Definitely!</t>
        </r>
      </text>
    </comment>
  </commentList>
</comments>
</file>

<file path=xl/comments21.xml><?xml version="1.0" encoding="utf-8"?>
<comments xmlns="http://schemas.openxmlformats.org/spreadsheetml/2006/main">
  <authors>
    <author>Preferred Customer</author>
  </authors>
  <commentList>
    <comment ref="B12" authorId="0">
      <text>
        <r>
          <rPr>
            <b/>
            <sz val="8"/>
            <rFont val="Tahoma"/>
            <family val="0"/>
          </rPr>
          <t>Benefit/Cost</t>
        </r>
      </text>
    </comment>
  </commentList>
</comments>
</file>

<file path=xl/comments7.xml><?xml version="1.0" encoding="utf-8"?>
<comments xmlns="http://schemas.openxmlformats.org/spreadsheetml/2006/main">
  <authors>
    <author>Melvin Myers</author>
  </authors>
  <commentList>
    <comment ref="A8" authorId="0">
      <text>
        <r>
          <rPr>
            <sz val="10"/>
            <rFont val="Tahoma"/>
            <family val="2"/>
          </rPr>
          <t xml:space="preserve">Decibels is an exponential measure of exposure in which the energy doubles for each 3 decibels increase. 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Of course, this depends upon how many shoots are fired during the time period. </t>
        </r>
      </text>
    </comment>
    <comment ref="C20" authorId="0">
      <text>
        <r>
          <rPr>
            <b/>
            <sz val="8"/>
            <rFont val="Tahoma"/>
            <family val="0"/>
          </rPr>
          <t>The exposure time is reduce to 1/10th of the hunting &amp; target shooting time.</t>
        </r>
      </text>
    </comment>
  </commentList>
</comments>
</file>

<file path=xl/comments9.xml><?xml version="1.0" encoding="utf-8"?>
<comments xmlns="http://schemas.openxmlformats.org/spreadsheetml/2006/main">
  <authors>
    <author>Melvin Myers</author>
  </authors>
  <commentList>
    <comment ref="A5" authorId="0">
      <text>
        <r>
          <rPr>
            <b/>
            <sz val="8"/>
            <rFont val="Tahoma"/>
            <family val="0"/>
          </rPr>
          <t>Hearing disability begins at 25 dB hearing loss (0%).</t>
        </r>
      </text>
    </comment>
  </commentList>
</comments>
</file>

<file path=xl/sharedStrings.xml><?xml version="1.0" encoding="utf-8"?>
<sst xmlns="http://schemas.openxmlformats.org/spreadsheetml/2006/main" count="446" uniqueCount="299">
  <si>
    <t>No ROPS</t>
  </si>
  <si>
    <t>CHOICE</t>
  </si>
  <si>
    <t>OUTCOME</t>
  </si>
  <si>
    <t>Death</t>
  </si>
  <si>
    <t>Pr_d=</t>
  </si>
  <si>
    <t>well</t>
  </si>
  <si>
    <t>EVENT</t>
  </si>
  <si>
    <t>CONSEQUENCE</t>
  </si>
  <si>
    <t>Probability</t>
  </si>
  <si>
    <t>Of death</t>
  </si>
  <si>
    <t>Disability</t>
  </si>
  <si>
    <t>Outpatient</t>
  </si>
  <si>
    <t>No injury</t>
  </si>
  <si>
    <t>Hospitalized</t>
  </si>
  <si>
    <t>minor</t>
  </si>
  <si>
    <t>Intervention</t>
  </si>
  <si>
    <t>TOTAL</t>
  </si>
  <si>
    <t>Discount rate</t>
  </si>
  <si>
    <t>Time Horizon</t>
  </si>
  <si>
    <t>years</t>
  </si>
  <si>
    <t>in social policy, 3% is typically used</t>
  </si>
  <si>
    <t>DEATH</t>
  </si>
  <si>
    <t>COSTS</t>
  </si>
  <si>
    <t>Discount Rate</t>
  </si>
  <si>
    <t>INJURIES</t>
  </si>
  <si>
    <t>NET COST</t>
  </si>
  <si>
    <t>per injury averted</t>
  </si>
  <si>
    <t>Pr_f=</t>
  </si>
  <si>
    <t>Pr_h=</t>
  </si>
  <si>
    <t>Pr_i=</t>
  </si>
  <si>
    <t>MAIS 6</t>
  </si>
  <si>
    <t>critical/severe</t>
  </si>
  <si>
    <t>serious/moderate</t>
  </si>
  <si>
    <t>injury, MAIS 5</t>
  </si>
  <si>
    <t>injury, MAIS 3</t>
  </si>
  <si>
    <t>injury, MAIS 1</t>
  </si>
  <si>
    <t>fatal</t>
  </si>
  <si>
    <t>www.bls.gov/cpi/home.htm</t>
  </si>
  <si>
    <t>has the same buying power as</t>
  </si>
  <si>
    <t>Inflation adjusted</t>
  </si>
  <si>
    <t>Inflation Calculator</t>
  </si>
  <si>
    <r>
      <t>Pr_d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</si>
  <si>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</si>
  <si>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</si>
  <si>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</si>
  <si>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deaths</t>
  </si>
  <si>
    <t>disabilities</t>
  </si>
  <si>
    <t>ROPS</t>
  </si>
  <si>
    <t>No Injury</t>
  </si>
  <si>
    <t>Cost</t>
  </si>
  <si>
    <t>Direct Costs</t>
  </si>
  <si>
    <t>Farm</t>
  </si>
  <si>
    <t>Society</t>
  </si>
  <si>
    <t>BREAK-EVEN POINT</t>
  </si>
  <si>
    <t xml:space="preserve">GO TO: </t>
  </si>
  <si>
    <t>fill in this value from the web site</t>
  </si>
  <si>
    <r>
      <t>1-sum(Pr_f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:Pr_i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)=</t>
    </r>
  </si>
  <si>
    <r>
      <t>1-sum(Pr_f</t>
    </r>
    <r>
      <rPr>
        <sz val="10"/>
        <rFont val="Arial"/>
        <family val="0"/>
      </rPr>
      <t>:Pr_i</t>
    </r>
    <r>
      <rPr>
        <sz val="10"/>
        <rFont val="Arial"/>
        <family val="0"/>
      </rPr>
      <t>)=</t>
    </r>
  </si>
  <si>
    <t>unit</t>
  </si>
  <si>
    <t>cost/unit</t>
  </si>
  <si>
    <t>no. units</t>
  </si>
  <si>
    <t>Intervention Cost</t>
  </si>
  <si>
    <t>Injury Cost</t>
  </si>
  <si>
    <t>COST EFFECTIVENESS</t>
  </si>
  <si>
    <t>BENEFIT/COST RATIO</t>
  </si>
  <si>
    <t xml:space="preserve">Benefit </t>
  </si>
  <si>
    <t>Ratio (Benefit/Cost)</t>
  </si>
  <si>
    <t>months</t>
  </si>
  <si>
    <t>Cost Schedule</t>
  </si>
  <si>
    <t>INJURY TOTAL</t>
  </si>
  <si>
    <t>hospitalizations</t>
  </si>
  <si>
    <t>outpatients</t>
  </si>
  <si>
    <t>Ratio</t>
  </si>
  <si>
    <t>Percentage</t>
  </si>
  <si>
    <t>In juries Averted</t>
  </si>
  <si>
    <t>Injury Severity</t>
  </si>
  <si>
    <t>Drawings: University of Kentucky</t>
  </si>
  <si>
    <t>Household</t>
  </si>
  <si>
    <t>Cost Factor</t>
  </si>
  <si>
    <t>Injury Care</t>
  </si>
  <si>
    <t>days</t>
  </si>
  <si>
    <t>case</t>
  </si>
  <si>
    <t>hours</t>
  </si>
  <si>
    <t>Heather's Experience</t>
  </si>
  <si>
    <t>"No Helmet" minus "Wear Helmet" Injuries = Injuries Averted</t>
  </si>
  <si>
    <t>Injuries Averted</t>
  </si>
  <si>
    <t>per 100,000 horse</t>
  </si>
  <si>
    <t xml:space="preserve"> riders per year</t>
  </si>
  <si>
    <t>© Melvin L. Myers, 2005</t>
  </si>
  <si>
    <t>Heather's Family</t>
  </si>
  <si>
    <t>Society (Heather's Injury)</t>
  </si>
  <si>
    <t>yr</t>
  </si>
  <si>
    <t>year</t>
  </si>
  <si>
    <t>Pr_b=</t>
  </si>
  <si>
    <t>1-Pr_b=</t>
  </si>
  <si>
    <r>
      <t>1-Pr_b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</si>
  <si>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</si>
  <si>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Hours</t>
  </si>
  <si>
    <t>WORKSHEET 17--Discounting Future Dollars</t>
  </si>
  <si>
    <t>WORKSHEET 19--Break-Even Analysis</t>
  </si>
  <si>
    <t>WORKSHEET 20--Benefit/Cost Analysis</t>
  </si>
  <si>
    <t>Kentucky Statewide</t>
  </si>
  <si>
    <t>on the decision tree?</t>
  </si>
  <si>
    <t>alternative differ from the sum of deaths for the No Helmet alternative?</t>
  </si>
  <si>
    <t>Are they more than 8 times less?</t>
  </si>
  <si>
    <t>yes</t>
  </si>
  <si>
    <t>would be averted per year by always wearing a riding helmet?</t>
  </si>
  <si>
    <t>Do the costs inflate over time?</t>
  </si>
  <si>
    <t>Is today's dollar worth more than tomorrow's dollar?</t>
  </si>
  <si>
    <t>Does it diminish the value of life?</t>
  </si>
  <si>
    <t>savings</t>
  </si>
  <si>
    <t>no</t>
  </si>
  <si>
    <t>appear acceptable?</t>
  </si>
  <si>
    <t xml:space="preserve"> statistical analyses and the Heather’s Experience? Is it higher?</t>
  </si>
  <si>
    <r>
      <t>QUESTION 2.4.</t>
    </r>
    <r>
      <rPr>
        <b/>
        <i/>
        <sz val="12"/>
        <rFont val="Times New Roman"/>
        <family val="1"/>
      </rPr>
      <t xml:space="preserve"> How do the sum of the deaths in the Wear Helmet </t>
    </r>
  </si>
  <si>
    <r>
      <t>QUESTION 2.5.</t>
    </r>
    <r>
      <rPr>
        <b/>
        <i/>
        <sz val="12"/>
        <rFont val="Times New Roman"/>
        <family val="1"/>
      </rPr>
      <t xml:space="preserve"> When calculated per 100,000 people, how many injuries</t>
    </r>
  </si>
  <si>
    <r>
      <t>QUESTION 2.2.</t>
    </r>
    <r>
      <rPr>
        <b/>
        <i/>
        <sz val="12"/>
        <rFont val="Times New Roman"/>
        <family val="1"/>
      </rPr>
      <t xml:space="preserve"> What are the two alternatives considered on this decision tree? </t>
    </r>
  </si>
  <si>
    <r>
      <t>QUESTION 3.2.</t>
    </r>
    <r>
      <rPr>
        <b/>
        <i/>
        <sz val="12"/>
        <rFont val="Times New Roman"/>
        <family val="1"/>
      </rPr>
      <t xml:space="preserve"> How does the discount rate affect the time value of money? </t>
    </r>
  </si>
  <si>
    <r>
      <t>QUESTION 3.3.</t>
    </r>
    <r>
      <rPr>
        <b/>
        <i/>
        <sz val="12"/>
        <rFont val="Times New Roman"/>
        <family val="1"/>
      </rPr>
      <t xml:space="preserve"> Looking at the chart, what effect does the discount rate have? </t>
    </r>
  </si>
  <si>
    <r>
      <t>QUESTION 3.6.</t>
    </r>
    <r>
      <rPr>
        <b/>
        <i/>
        <sz val="12"/>
        <rFont val="Times New Roman"/>
        <family val="1"/>
      </rPr>
      <t xml:space="preserve"> Does the break-even point for the interventions to pay for themselves  </t>
    </r>
  </si>
  <si>
    <r>
      <t>QUESTION 3.7.</t>
    </r>
    <r>
      <rPr>
        <b/>
        <i/>
        <sz val="12"/>
        <rFont val="Times New Roman"/>
        <family val="1"/>
      </rPr>
      <t xml:space="preserve"> How does the benefit/cost ratio compare between Rick’s Kentucky-wide </t>
    </r>
  </si>
  <si>
    <r>
      <t>QUESTION 2.3.</t>
    </r>
    <r>
      <rPr>
        <b/>
        <i/>
        <sz val="12"/>
        <rFont val="Times New Roman"/>
        <family val="1"/>
      </rPr>
      <t xml:space="preserve"> What is the common sum of each set of branches   </t>
    </r>
  </si>
  <si>
    <t xml:space="preserve">preventing overturn-related injuries on their farm? </t>
  </si>
  <si>
    <t>WORKSHEET 1--Ellen's Care</t>
  </si>
  <si>
    <t>Hearing Protectors</t>
  </si>
  <si>
    <t>Of exposure to harmful noise</t>
  </si>
  <si>
    <t>Hours of exposure per year</t>
  </si>
  <si>
    <t>With Protection</t>
  </si>
  <si>
    <t>with protection</t>
  </si>
  <si>
    <t>no protection</t>
  </si>
  <si>
    <t>No Protection</t>
  </si>
  <si>
    <t>Ellen's Experience</t>
  </si>
  <si>
    <r>
      <t>QUESTION 3.8.</t>
    </r>
    <r>
      <rPr>
        <b/>
        <i/>
        <sz val="12"/>
        <rFont val="Times New Roman"/>
        <family val="1"/>
      </rPr>
      <t xml:space="preserve"> Given Ellen’s Experience, does society have an economic stake in </t>
    </r>
  </si>
  <si>
    <t>`</t>
  </si>
  <si>
    <t>Indirect Costs</t>
  </si>
  <si>
    <t>Sub-total</t>
  </si>
  <si>
    <t>12 gauge shotgun</t>
  </si>
  <si>
    <t>dB</t>
  </si>
  <si>
    <t>Chain saw</t>
  </si>
  <si>
    <t>Tractor</t>
  </si>
  <si>
    <t>Pig handling</t>
  </si>
  <si>
    <t>Noise Source</t>
  </si>
  <si>
    <t xml:space="preserve">http://www.cdc.gov/niosh/topics/noise/abouthlp/noisemeter_flash/soundMeter_flash.html </t>
  </si>
  <si>
    <t>Irrigation pump</t>
  </si>
  <si>
    <t>Grinder</t>
  </si>
  <si>
    <t>Circular Saw</t>
  </si>
  <si>
    <t>Bulldozer</t>
  </si>
  <si>
    <t>Auger</t>
  </si>
  <si>
    <t>Air compressor</t>
  </si>
  <si>
    <t>WORKSHEET 3--Lifetime Exposures</t>
  </si>
  <si>
    <t>WORKSHEET 2--Noise Sources</t>
  </si>
  <si>
    <t>Other</t>
  </si>
  <si>
    <t>Combine</t>
  </si>
  <si>
    <t>Hrs/Yr</t>
  </si>
  <si>
    <t>Agriculture</t>
  </si>
  <si>
    <t>Mining</t>
  </si>
  <si>
    <t>Construction</t>
  </si>
  <si>
    <t>Manufacturing</t>
  </si>
  <si>
    <t>Transportation</t>
  </si>
  <si>
    <t>Wholesale</t>
  </si>
  <si>
    <t>Retail</t>
  </si>
  <si>
    <t>Industry</t>
  </si>
  <si>
    <t>WORKSHEET 6--Colateral Injuries</t>
  </si>
  <si>
    <t>Injury Rate/100</t>
  </si>
  <si>
    <t>plug pairs/yr</t>
  </si>
  <si>
    <t>for a 39-year period</t>
  </si>
  <si>
    <t>Year</t>
  </si>
  <si>
    <t>risk of dangerous noise per work hour</t>
  </si>
  <si>
    <t>dB(A) Reduction</t>
  </si>
  <si>
    <t>Probability of exposure to harmful noise (&gt;85 dB)</t>
  </si>
  <si>
    <t>Of injury</t>
  </si>
  <si>
    <t>Effectiveness with safety factor</t>
  </si>
  <si>
    <t>With Hearing Impairment</t>
  </si>
  <si>
    <t>No Hearing Impairment</t>
  </si>
  <si>
    <t>Noise</t>
  </si>
  <si>
    <t>No Noise</t>
  </si>
  <si>
    <t>WORKSHEET 11--DecisionTree</t>
  </si>
  <si>
    <t>Injury</t>
  </si>
  <si>
    <t>injuries</t>
  </si>
  <si>
    <t>No hearing</t>
  </si>
  <si>
    <t>Hearing</t>
  </si>
  <si>
    <t>WORKSHEET 11, Page 2</t>
  </si>
  <si>
    <t>NONFATAL</t>
  </si>
  <si>
    <t>Direct</t>
  </si>
  <si>
    <t>Indirect</t>
  </si>
  <si>
    <t>WORKSHEET 12--Injury Schedule and Inflation</t>
  </si>
  <si>
    <t>WORKSHEET 14--Cost Effectiveness Analysis</t>
  </si>
  <si>
    <t>Physician Visits</t>
  </si>
  <si>
    <t>Medications</t>
  </si>
  <si>
    <t>Hospital Inpatient Stays</t>
  </si>
  <si>
    <t>Assistive Devices</t>
  </si>
  <si>
    <t>Therapy/Rehabilitation</t>
  </si>
  <si>
    <t>Subtotal</t>
  </si>
  <si>
    <t>Special Education</t>
  </si>
  <si>
    <t>INTERVENTION COST</t>
  </si>
  <si>
    <t>dollars</t>
  </si>
  <si>
    <t>Premature Death</t>
  </si>
  <si>
    <t>LIFETIME HEARING LOSS COSTS</t>
  </si>
  <si>
    <t>Hearing Loss</t>
  </si>
  <si>
    <t>Ellen</t>
  </si>
  <si>
    <t>Emergency response</t>
  </si>
  <si>
    <t>yrs</t>
  </si>
  <si>
    <t>hrs/yr</t>
  </si>
  <si>
    <t>min/day</t>
  </si>
  <si>
    <t>%</t>
  </si>
  <si>
    <t>Grain dryer</t>
  </si>
  <si>
    <t>Occupational</t>
  </si>
  <si>
    <t>Other occupational</t>
  </si>
  <si>
    <t>Other agricultural</t>
  </si>
  <si>
    <t>WORKSHEET 4--Percentage Exposure</t>
  </si>
  <si>
    <t>minutes</t>
  </si>
  <si>
    <t>hrs</t>
  </si>
  <si>
    <t>Stationary equipment</t>
  </si>
  <si>
    <t>WORKSHEET 4--8 Hour Exposure</t>
  </si>
  <si>
    <t>Average exposure</t>
  </si>
  <si>
    <t>Hazard limit=85 dB</t>
  </si>
  <si>
    <t>8-Hour exposure</t>
  </si>
  <si>
    <t>hour</t>
  </si>
  <si>
    <t>8-hour average</t>
  </si>
  <si>
    <t>Non-occupational</t>
  </si>
  <si>
    <t>Drug store</t>
  </si>
  <si>
    <t>Internet</t>
  </si>
  <si>
    <t>WORKSHEET 6--Hearing Loss</t>
  </si>
  <si>
    <t>17-28</t>
  </si>
  <si>
    <t>29-35</t>
  </si>
  <si>
    <t>36-43</t>
  </si>
  <si>
    <t>44-50</t>
  </si>
  <si>
    <t>51-71</t>
  </si>
  <si>
    <t>age</t>
  </si>
  <si>
    <t>disability, &gt; 25 dB loss</t>
  </si>
  <si>
    <t>hearing loss, dB</t>
  </si>
  <si>
    <t>Years of exposure</t>
  </si>
  <si>
    <t xml:space="preserve">Scroll the bar above to enter the years of workplace noise exposure </t>
  </si>
  <si>
    <t>noise</t>
  </si>
  <si>
    <t>protection</t>
  </si>
  <si>
    <t>shotgun</t>
  </si>
  <si>
    <t xml:space="preserve">Associated Injury  </t>
  </si>
  <si>
    <t>Associated Death</t>
  </si>
  <si>
    <r>
      <t>1.5. Question</t>
    </r>
    <r>
      <rPr>
        <b/>
        <sz val="12"/>
        <rFont val="Arial"/>
        <family val="2"/>
      </rPr>
      <t xml:space="preserve">: Based upon the standards shown above, which exposures are hazardous to hearing? </t>
    </r>
  </si>
  <si>
    <t>injuries per 100 workers</t>
  </si>
  <si>
    <t xml:space="preserve">Annual exposure </t>
  </si>
  <si>
    <t>Lower Noise Exposure</t>
  </si>
  <si>
    <t>Dangerous Noise Exposure</t>
  </si>
  <si>
    <t>hours per year</t>
  </si>
  <si>
    <t>Hearing impairment</t>
  </si>
  <si>
    <t>Pr_fw=</t>
  </si>
  <si>
    <t>Pr_dw=</t>
  </si>
  <si>
    <t>No inflation</t>
  </si>
  <si>
    <t>With inflation</t>
  </si>
  <si>
    <t>productivity losses</t>
  </si>
  <si>
    <t>Productivity Losses</t>
  </si>
  <si>
    <t>Direct Non-medical</t>
  </si>
  <si>
    <t>Direct Medical</t>
  </si>
  <si>
    <r>
      <t>QUESTION 3.1.</t>
    </r>
    <r>
      <rPr>
        <b/>
        <sz val="12"/>
        <rFont val="Times New Roman"/>
        <family val="1"/>
      </rPr>
      <t xml:space="preserve"> Observe the chart. What effect does inflation have on these costs?</t>
    </r>
  </si>
  <si>
    <t>Home/Auto Modifications</t>
  </si>
  <si>
    <t>Age of Noise Impaired</t>
  </si>
  <si>
    <t>Person</t>
  </si>
  <si>
    <r>
      <t>QUESTION 1.6.</t>
    </r>
    <r>
      <rPr>
        <b/>
        <sz val="12"/>
        <rFont val="Arial"/>
        <family val="2"/>
      </rPr>
      <t xml:space="preserve"> How many years of exposure first led to a hearing disability?</t>
    </r>
  </si>
  <si>
    <t>Motorcycle &amp; snowmobile</t>
  </si>
  <si>
    <t>Rock band</t>
  </si>
  <si>
    <t>Probabilities of Injuries as Related to Hearing Impairment</t>
  </si>
  <si>
    <t>No hearing impairment</t>
  </si>
  <si>
    <t>tractor</t>
  </si>
  <si>
    <t>occupational</t>
  </si>
  <si>
    <r>
      <t>QUESTION 1.1</t>
    </r>
    <r>
      <rPr>
        <b/>
        <sz val="12"/>
        <rFont val="Arial"/>
        <family val="2"/>
      </rPr>
      <t xml:space="preserve"> What was the total cost of Ellen’s injury? </t>
    </r>
  </si>
  <si>
    <t>WORKSHEET 5--Hazardous Exposures</t>
  </si>
  <si>
    <t>Social Cost</t>
  </si>
  <si>
    <t>Pete's hearing aids</t>
  </si>
  <si>
    <t xml:space="preserve">From the Noise Meter at the following web link, type in the missing values in the three blue boxes. </t>
  </si>
  <si>
    <r>
      <t>QUESTION 1.2.</t>
    </r>
    <r>
      <rPr>
        <b/>
        <sz val="12"/>
        <rFont val="Arial"/>
        <family val="2"/>
      </rPr>
      <t xml:space="preserve"> Is Pete's average 8-hour exposure above the noise hazard limit?</t>
    </r>
  </si>
  <si>
    <r>
      <t>QUESTION 1.3.</t>
    </r>
    <r>
      <rPr>
        <b/>
        <sz val="12"/>
        <rFont val="Arial"/>
        <family val="2"/>
      </rPr>
      <t xml:space="preserve"> To which noise source was Pete exposed to for most of his lifetime? </t>
    </r>
  </si>
  <si>
    <t>Increase</t>
  </si>
  <si>
    <t>no. pairs</t>
  </si>
  <si>
    <t>cost/pair</t>
  </si>
  <si>
    <t>WORKSHEET 8--Intervention Cost</t>
  </si>
  <si>
    <r>
      <t>QUESTION 1.8.</t>
    </r>
    <r>
      <rPr>
        <b/>
        <sz val="12"/>
        <rFont val="Times New Roman"/>
        <family val="1"/>
      </rPr>
      <t xml:space="preserve"> What is the cheapest cost per year for ear plugs? </t>
    </r>
  </si>
  <si>
    <t>WORKSHEET 9--Exposure (Hours)</t>
  </si>
  <si>
    <t>WORKSHEET 10--Ear Plug Effectiveness</t>
  </si>
  <si>
    <t>WORKSHEET 11--Probabilities</t>
  </si>
  <si>
    <r>
      <t>QUESTION 2.3.</t>
    </r>
    <r>
      <rPr>
        <b/>
        <sz val="12"/>
        <rFont val="Times New Roman"/>
        <family val="1"/>
      </rPr>
      <t xml:space="preserve"> How does the potential for “injury” change when a farmer has good hearing? Does it increase or decrease?</t>
    </r>
  </si>
  <si>
    <t>Outcome</t>
  </si>
  <si>
    <t>Type</t>
  </si>
  <si>
    <t>injury data base year</t>
  </si>
  <si>
    <t>WORKSHEET 13--Noise Schedule and Inflation</t>
  </si>
  <si>
    <r>
      <t>QUESTION 3.3</t>
    </r>
    <r>
      <rPr>
        <b/>
        <i/>
        <sz val="12"/>
        <rFont val="Times New Roman"/>
        <family val="1"/>
      </rPr>
      <t xml:space="preserve">. Are the NET COST results a cost or a savings? </t>
    </r>
  </si>
  <si>
    <t>min</t>
  </si>
  <si>
    <t>decrease</t>
  </si>
  <si>
    <t>Hunting &amp; target shooting</t>
  </si>
  <si>
    <r>
      <t>QUESTION 1.4:</t>
    </r>
    <r>
      <rPr>
        <b/>
        <sz val="12"/>
        <rFont val="Arial"/>
        <family val="2"/>
      </rPr>
      <t xml:space="preserve"> Which source of noise was greater for Pete, occupational or non-occupational? </t>
    </r>
  </si>
  <si>
    <t>Effectiveness of hearing protection</t>
  </si>
  <si>
    <r>
      <t>QUESTION 3.2:</t>
    </r>
    <r>
      <rPr>
        <b/>
        <sz val="12"/>
        <rFont val="Arial"/>
        <family val="2"/>
      </rPr>
      <t xml:space="preserve"> Which of the three major lifetime categories is the most costly fo Ellen?</t>
    </r>
  </si>
  <si>
    <r>
      <t>Question 2.2.</t>
    </r>
    <r>
      <rPr>
        <b/>
        <sz val="11"/>
        <rFont val="Arial"/>
        <family val="2"/>
      </rPr>
      <t xml:space="preserve"> For which noise source is ear plugs least effective?</t>
    </r>
  </si>
  <si>
    <t>Ellen's lifetime lost productivity</t>
  </si>
  <si>
    <r>
      <t>QUESTION 1.6</t>
    </r>
    <r>
      <rPr>
        <b/>
        <sz val="12"/>
        <rFont val="Times New Roman"/>
        <family val="1"/>
      </rPr>
      <t xml:space="preserve"> How many injuries (per (100) would be prevented if the person had no hearing loss?  </t>
    </r>
  </si>
  <si>
    <r>
      <t>QUESTION 2.1.</t>
    </r>
    <r>
      <rPr>
        <b/>
        <sz val="12"/>
        <rFont val="Times New Roman"/>
        <family val="1"/>
      </rPr>
      <t xml:space="preserve"> What percentage of the work day does hearing loss occur?</t>
    </r>
  </si>
  <si>
    <t>Shotgun</t>
  </si>
  <si>
    <t>in year</t>
  </si>
  <si>
    <t>Big box store</t>
  </si>
  <si>
    <t>NOTE: Hunting &amp; target shooting exposure was reduced by a factor of 10 since shooting does not occur all of this time.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</si>
</sst>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"/>
    <numFmt numFmtId="169" formatCode="&quot;$&quot;#,##0.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"/>
    <numFmt numFmtId="176" formatCode="0.00000%"/>
    <numFmt numFmtId="177" formatCode="0.000%"/>
    <numFmt numFmtId="178" formatCode="0.00000"/>
    <numFmt numFmtId="179" formatCode="#,##0.0"/>
    <numFmt numFmtId="180" formatCode="0.0"/>
    <numFmt numFmtId="181" formatCode="0.000000000"/>
    <numFmt numFmtId="182" formatCode="0.0000000000"/>
    <numFmt numFmtId="183" formatCode="0.0000%"/>
    <numFmt numFmtId="184" formatCode="0.0000"/>
    <numFmt numFmtId="185" formatCode="0.000"/>
    <numFmt numFmtId="186" formatCode="0.000000"/>
    <numFmt numFmtId="187" formatCode="0.0000000"/>
    <numFmt numFmtId="188" formatCode="#,##0.0000000"/>
    <numFmt numFmtId="189" formatCode="[$-409]dddd\,\ mmmm\ dd\,\ yyyy"/>
  </numFmts>
  <fonts count="8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0"/>
    </font>
    <font>
      <b/>
      <sz val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0"/>
    </font>
    <font>
      <u val="single"/>
      <sz val="11"/>
      <color indexed="10"/>
      <name val="Arial"/>
      <family val="0"/>
    </font>
    <font>
      <b/>
      <u val="single"/>
      <sz val="9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b/>
      <u val="single"/>
      <sz val="11"/>
      <color indexed="12"/>
      <name val="Arial"/>
      <family val="2"/>
    </font>
    <font>
      <sz val="10"/>
      <color indexed="46"/>
      <name val="Arial"/>
      <family val="2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4.75"/>
      <name val="Arial"/>
      <family val="0"/>
    </font>
    <font>
      <b/>
      <sz val="14.25"/>
      <name val="Arial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Tahoma"/>
      <family val="2"/>
    </font>
    <font>
      <b/>
      <i/>
      <sz val="12"/>
      <name val="Times New Roman"/>
      <family val="1"/>
    </font>
    <font>
      <b/>
      <sz val="12"/>
      <name val="Tahoma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Times New Roman"/>
      <family val="1"/>
    </font>
    <font>
      <b/>
      <i/>
      <sz val="12"/>
      <color indexed="53"/>
      <name val="Times New Roman"/>
      <family val="1"/>
    </font>
    <font>
      <sz val="11.75"/>
      <name val="Arial"/>
      <family val="0"/>
    </font>
    <font>
      <b/>
      <i/>
      <sz val="10.75"/>
      <color indexed="13"/>
      <name val="Arial"/>
      <family val="2"/>
    </font>
    <font>
      <b/>
      <sz val="10.75"/>
      <name val="Arial"/>
      <family val="0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62"/>
      <name val="Arial"/>
      <family val="2"/>
    </font>
    <font>
      <b/>
      <sz val="13.25"/>
      <color indexed="6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5.25"/>
      <name val="Arial"/>
      <family val="0"/>
    </font>
    <font>
      <b/>
      <i/>
      <sz val="12"/>
      <name val="Arial"/>
      <family val="2"/>
    </font>
    <font>
      <b/>
      <sz val="10"/>
      <color indexed="14"/>
      <name val="Arial"/>
      <family val="2"/>
    </font>
    <font>
      <b/>
      <sz val="15.75"/>
      <name val="Arial"/>
      <family val="0"/>
    </font>
    <font>
      <b/>
      <sz val="12.5"/>
      <name val="Arial"/>
      <family val="0"/>
    </font>
    <font>
      <b/>
      <sz val="12"/>
      <color indexed="10"/>
      <name val="Times New Roman"/>
      <family val="1"/>
    </font>
    <font>
      <b/>
      <sz val="14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4.25"/>
      <color indexed="62"/>
      <name val="Arial"/>
      <family val="2"/>
    </font>
    <font>
      <sz val="10"/>
      <name val="Tahoma"/>
      <family val="2"/>
    </font>
    <font>
      <sz val="10"/>
      <color indexed="61"/>
      <name val="Arial"/>
      <family val="2"/>
    </font>
    <font>
      <sz val="10"/>
      <color indexed="51"/>
      <name val="Arial"/>
      <family val="0"/>
    </font>
    <font>
      <sz val="11"/>
      <name val="Times New Roman"/>
      <family val="1"/>
    </font>
    <font>
      <b/>
      <sz val="11"/>
      <color indexed="13"/>
      <name val="Arial"/>
      <family val="2"/>
    </font>
    <font>
      <sz val="12"/>
      <name val="Arial Black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3" xfId="0" applyFill="1" applyBorder="1" applyAlignment="1">
      <alignment/>
    </xf>
    <xf numFmtId="165" fontId="0" fillId="0" borderId="0" xfId="0" applyNumberFormat="1" applyAlignment="1">
      <alignment/>
    </xf>
    <xf numFmtId="165" fontId="0" fillId="4" borderId="3" xfId="0" applyNumberFormat="1" applyFill="1" applyBorder="1" applyAlignment="1">
      <alignment/>
    </xf>
    <xf numFmtId="166" fontId="0" fillId="4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65" fontId="7" fillId="5" borderId="3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0" fontId="7" fillId="5" borderId="10" xfId="0" applyFont="1" applyFill="1" applyBorder="1" applyAlignment="1">
      <alignment/>
    </xf>
    <xf numFmtId="165" fontId="0" fillId="5" borderId="0" xfId="0" applyNumberForma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4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3" borderId="0" xfId="0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177" fontId="0" fillId="5" borderId="0" xfId="0" applyNumberForma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180" fontId="7" fillId="5" borderId="12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/>
    </xf>
    <xf numFmtId="180" fontId="7" fillId="5" borderId="13" xfId="0" applyNumberFormat="1" applyFont="1" applyFill="1" applyBorder="1" applyAlignment="1">
      <alignment horizontal="center"/>
    </xf>
    <xf numFmtId="180" fontId="7" fillId="5" borderId="14" xfId="0" applyNumberFormat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177" fontId="0" fillId="4" borderId="3" xfId="0" applyNumberFormat="1" applyFill="1" applyBorder="1" applyAlignment="1">
      <alignment/>
    </xf>
    <xf numFmtId="165" fontId="26" fillId="0" borderId="0" xfId="0" applyNumberFormat="1" applyFont="1" applyBorder="1" applyAlignment="1">
      <alignment/>
    </xf>
    <xf numFmtId="0" fontId="26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165" fontId="10" fillId="3" borderId="0" xfId="0" applyNumberFormat="1" applyFont="1" applyFill="1" applyAlignment="1">
      <alignment/>
    </xf>
    <xf numFmtId="165" fontId="0" fillId="3" borderId="0" xfId="0" applyNumberFormat="1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5" fontId="0" fillId="3" borderId="11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182" fontId="0" fillId="3" borderId="0" xfId="0" applyNumberFormat="1" applyFill="1" applyAlignment="1">
      <alignment/>
    </xf>
    <xf numFmtId="0" fontId="3" fillId="3" borderId="0" xfId="0" applyFont="1" applyFill="1" applyBorder="1" applyAlignment="1">
      <alignment horizontal="left"/>
    </xf>
    <xf numFmtId="0" fontId="14" fillId="3" borderId="0" xfId="0" applyFont="1" applyFill="1" applyAlignment="1">
      <alignment/>
    </xf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7" fillId="3" borderId="0" xfId="0" applyFont="1" applyFill="1" applyAlignment="1">
      <alignment/>
    </xf>
    <xf numFmtId="182" fontId="0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/>
    </xf>
    <xf numFmtId="2" fontId="17" fillId="3" borderId="0" xfId="0" applyNumberFormat="1" applyFont="1" applyFill="1" applyBorder="1" applyAlignment="1">
      <alignment/>
    </xf>
    <xf numFmtId="170" fontId="16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178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78" fontId="18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/>
    </xf>
    <xf numFmtId="0" fontId="25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81" fontId="0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 horizontal="center"/>
    </xf>
    <xf numFmtId="180" fontId="15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27" fillId="6" borderId="0" xfId="0" applyFont="1" applyFill="1" applyBorder="1" applyAlignment="1">
      <alignment/>
    </xf>
    <xf numFmtId="2" fontId="27" fillId="6" borderId="0" xfId="0" applyNumberFormat="1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/>
    </xf>
    <xf numFmtId="2" fontId="27" fillId="7" borderId="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right"/>
    </xf>
    <xf numFmtId="0" fontId="27" fillId="3" borderId="11" xfId="0" applyFont="1" applyFill="1" applyBorder="1" applyAlignment="1">
      <alignment/>
    </xf>
    <xf numFmtId="2" fontId="27" fillId="3" borderId="1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80" fontId="0" fillId="5" borderId="0" xfId="0" applyNumberFormat="1" applyFill="1" applyBorder="1" applyAlignment="1">
      <alignment/>
    </xf>
    <xf numFmtId="165" fontId="0" fillId="5" borderId="17" xfId="0" applyNumberFormat="1" applyFill="1" applyBorder="1" applyAlignment="1">
      <alignment/>
    </xf>
    <xf numFmtId="0" fontId="18" fillId="3" borderId="0" xfId="0" applyFont="1" applyFill="1" applyAlignment="1">
      <alignment/>
    </xf>
    <xf numFmtId="3" fontId="0" fillId="4" borderId="3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19" fillId="3" borderId="0" xfId="0" applyFont="1" applyFill="1" applyAlignment="1">
      <alignment/>
    </xf>
    <xf numFmtId="0" fontId="24" fillId="3" borderId="0" xfId="0" applyFont="1" applyFill="1" applyAlignment="1">
      <alignment horizontal="center"/>
    </xf>
    <xf numFmtId="3" fontId="0" fillId="3" borderId="0" xfId="0" applyNumberFormat="1" applyFill="1" applyAlignment="1">
      <alignment/>
    </xf>
    <xf numFmtId="180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" fontId="18" fillId="5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" borderId="0" xfId="0" applyFont="1" applyFill="1" applyAlignment="1">
      <alignment horizontal="center"/>
    </xf>
    <xf numFmtId="164" fontId="0" fillId="3" borderId="0" xfId="0" applyNumberFormat="1" applyFill="1" applyAlignment="1">
      <alignment/>
    </xf>
    <xf numFmtId="0" fontId="12" fillId="3" borderId="0" xfId="0" applyFont="1" applyFill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36" fillId="3" borderId="0" xfId="0" applyFont="1" applyFill="1" applyAlignment="1">
      <alignment/>
    </xf>
    <xf numFmtId="164" fontId="36" fillId="3" borderId="0" xfId="0" applyNumberFormat="1" applyFont="1" applyFill="1" applyAlignment="1">
      <alignment/>
    </xf>
    <xf numFmtId="165" fontId="36" fillId="3" borderId="0" xfId="0" applyNumberFormat="1" applyFont="1" applyFill="1" applyAlignment="1">
      <alignment/>
    </xf>
    <xf numFmtId="0" fontId="5" fillId="3" borderId="0" xfId="20" applyFill="1" applyAlignment="1">
      <alignment/>
    </xf>
    <xf numFmtId="8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165" fontId="10" fillId="3" borderId="0" xfId="0" applyNumberFormat="1" applyFont="1" applyFill="1" applyAlignment="1">
      <alignment/>
    </xf>
    <xf numFmtId="0" fontId="7" fillId="3" borderId="0" xfId="0" applyFont="1" applyFill="1" applyAlignment="1">
      <alignment horizontal="left"/>
    </xf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6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3" borderId="0" xfId="20" applyFill="1" applyBorder="1" applyAlignment="1">
      <alignment horizontal="left"/>
    </xf>
    <xf numFmtId="167" fontId="0" fillId="3" borderId="0" xfId="0" applyNumberFormat="1" applyFill="1" applyAlignment="1">
      <alignment/>
    </xf>
    <xf numFmtId="0" fontId="8" fillId="3" borderId="11" xfId="0" applyFont="1" applyFill="1" applyBorder="1" applyAlignment="1">
      <alignment horizontal="center"/>
    </xf>
    <xf numFmtId="166" fontId="0" fillId="3" borderId="0" xfId="0" applyNumberFormat="1" applyFill="1" applyAlignment="1">
      <alignment/>
    </xf>
    <xf numFmtId="165" fontId="0" fillId="3" borderId="7" xfId="0" applyNumberFormat="1" applyFill="1" applyBorder="1" applyAlignment="1">
      <alignment/>
    </xf>
    <xf numFmtId="164" fontId="10" fillId="3" borderId="0" xfId="0" applyNumberFormat="1" applyFont="1" applyFill="1" applyAlignment="1">
      <alignment/>
    </xf>
    <xf numFmtId="180" fontId="10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0" fontId="37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5" borderId="0" xfId="0" applyNumberFormat="1" applyFill="1" applyBorder="1" applyAlignment="1">
      <alignment/>
    </xf>
    <xf numFmtId="0" fontId="10" fillId="3" borderId="0" xfId="0" applyFont="1" applyFill="1" applyAlignment="1">
      <alignment horizontal="right"/>
    </xf>
    <xf numFmtId="184" fontId="10" fillId="3" borderId="0" xfId="0" applyNumberFormat="1" applyFont="1" applyFill="1" applyAlignment="1">
      <alignment/>
    </xf>
    <xf numFmtId="184" fontId="10" fillId="3" borderId="0" xfId="0" applyNumberFormat="1" applyFont="1" applyFill="1" applyAlignment="1">
      <alignment horizontal="right"/>
    </xf>
    <xf numFmtId="177" fontId="10" fillId="3" borderId="0" xfId="0" applyNumberFormat="1" applyFont="1" applyFill="1" applyAlignment="1">
      <alignment/>
    </xf>
    <xf numFmtId="1" fontId="10" fillId="3" borderId="0" xfId="0" applyNumberFormat="1" applyFont="1" applyFill="1" applyAlignment="1">
      <alignment/>
    </xf>
    <xf numFmtId="2" fontId="10" fillId="3" borderId="0" xfId="0" applyNumberFormat="1" applyFont="1" applyFill="1" applyAlignment="1">
      <alignment/>
    </xf>
    <xf numFmtId="0" fontId="0" fillId="5" borderId="0" xfId="0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16" fillId="3" borderId="11" xfId="0" applyFon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27" fillId="8" borderId="0" xfId="0" applyFont="1" applyFill="1" applyBorder="1" applyAlignment="1">
      <alignment/>
    </xf>
    <xf numFmtId="2" fontId="27" fillId="8" borderId="0" xfId="0" applyNumberFormat="1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/>
    </xf>
    <xf numFmtId="0" fontId="27" fillId="3" borderId="11" xfId="0" applyFont="1" applyFill="1" applyBorder="1" applyAlignment="1">
      <alignment horizontal="center"/>
    </xf>
    <xf numFmtId="165" fontId="0" fillId="8" borderId="0" xfId="0" applyNumberFormat="1" applyFill="1" applyAlignment="1">
      <alignment/>
    </xf>
    <xf numFmtId="165" fontId="0" fillId="8" borderId="0" xfId="0" applyNumberFormat="1" applyFont="1" applyFill="1" applyAlignment="1">
      <alignment/>
    </xf>
    <xf numFmtId="167" fontId="0" fillId="8" borderId="0" xfId="0" applyNumberFormat="1" applyFill="1" applyAlignment="1">
      <alignment/>
    </xf>
    <xf numFmtId="167" fontId="0" fillId="8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5" fontId="0" fillId="7" borderId="0" xfId="0" applyNumberFormat="1" applyFont="1" applyFill="1" applyAlignment="1">
      <alignment/>
    </xf>
    <xf numFmtId="167" fontId="0" fillId="7" borderId="0" xfId="0" applyNumberFormat="1" applyFill="1" applyAlignment="1">
      <alignment/>
    </xf>
    <xf numFmtId="167" fontId="0" fillId="7" borderId="0" xfId="0" applyNumberFormat="1" applyFont="1" applyFill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27" fillId="9" borderId="0" xfId="0" applyFont="1" applyFill="1" applyBorder="1" applyAlignment="1">
      <alignment/>
    </xf>
    <xf numFmtId="2" fontId="27" fillId="9" borderId="0" xfId="0" applyNumberFormat="1" applyFont="1" applyFill="1" applyBorder="1" applyAlignment="1">
      <alignment horizontal="center"/>
    </xf>
    <xf numFmtId="0" fontId="27" fillId="9" borderId="0" xfId="0" applyFont="1" applyFill="1" applyBorder="1" applyAlignment="1">
      <alignment horizontal="center"/>
    </xf>
    <xf numFmtId="165" fontId="0" fillId="9" borderId="0" xfId="0" applyNumberFormat="1" applyFill="1" applyAlignment="1">
      <alignment/>
    </xf>
    <xf numFmtId="165" fontId="0" fillId="9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0" fillId="9" borderId="0" xfId="0" applyFill="1" applyAlignment="1">
      <alignment/>
    </xf>
    <xf numFmtId="167" fontId="0" fillId="9" borderId="0" xfId="0" applyNumberFormat="1" applyFill="1" applyAlignment="1">
      <alignment/>
    </xf>
    <xf numFmtId="167" fontId="0" fillId="9" borderId="0" xfId="0" applyNumberFormat="1" applyFont="1" applyFill="1" applyAlignment="1">
      <alignment/>
    </xf>
    <xf numFmtId="165" fontId="0" fillId="6" borderId="7" xfId="0" applyNumberFormat="1" applyFont="1" applyFill="1" applyBorder="1" applyAlignment="1">
      <alignment/>
    </xf>
    <xf numFmtId="167" fontId="0" fillId="6" borderId="7" xfId="0" applyNumberFormat="1" applyFill="1" applyBorder="1" applyAlignment="1">
      <alignment/>
    </xf>
    <xf numFmtId="167" fontId="0" fillId="6" borderId="7" xfId="0" applyNumberFormat="1" applyFont="1" applyFill="1" applyBorder="1" applyAlignment="1">
      <alignment/>
    </xf>
    <xf numFmtId="165" fontId="0" fillId="6" borderId="7" xfId="0" applyNumberFormat="1" applyFill="1" applyBorder="1" applyAlignment="1">
      <alignment/>
    </xf>
    <xf numFmtId="0" fontId="45" fillId="3" borderId="7" xfId="0" applyFont="1" applyFill="1" applyBorder="1" applyAlignment="1">
      <alignment horizontal="center"/>
    </xf>
    <xf numFmtId="0" fontId="45" fillId="3" borderId="0" xfId="0" applyFont="1" applyFill="1" applyAlignment="1">
      <alignment/>
    </xf>
    <xf numFmtId="178" fontId="44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/>
    </xf>
    <xf numFmtId="0" fontId="27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2" fontId="45" fillId="3" borderId="7" xfId="0" applyNumberFormat="1" applyFont="1" applyFill="1" applyBorder="1" applyAlignment="1">
      <alignment horizontal="center"/>
    </xf>
    <xf numFmtId="0" fontId="48" fillId="3" borderId="0" xfId="0" applyFont="1" applyFill="1" applyAlignment="1">
      <alignment/>
    </xf>
    <xf numFmtId="0" fontId="48" fillId="0" borderId="0" xfId="0" applyFont="1" applyAlignment="1">
      <alignment/>
    </xf>
    <xf numFmtId="0" fontId="43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5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51" fillId="3" borderId="0" xfId="0" applyFont="1" applyFill="1" applyAlignment="1">
      <alignment/>
    </xf>
    <xf numFmtId="0" fontId="50" fillId="3" borderId="0" xfId="0" applyFont="1" applyFill="1" applyBorder="1" applyAlignment="1">
      <alignment/>
    </xf>
    <xf numFmtId="186" fontId="45" fillId="3" borderId="7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left"/>
    </xf>
    <xf numFmtId="0" fontId="52" fillId="0" borderId="0" xfId="0" applyFont="1" applyAlignment="1">
      <alignment/>
    </xf>
    <xf numFmtId="0" fontId="35" fillId="3" borderId="0" xfId="0" applyFont="1" applyFill="1" applyAlignment="1">
      <alignment horizontal="left"/>
    </xf>
    <xf numFmtId="1" fontId="18" fillId="4" borderId="3" xfId="0" applyNumberFormat="1" applyFont="1" applyFill="1" applyBorder="1" applyAlignment="1">
      <alignment/>
    </xf>
    <xf numFmtId="165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29" fillId="3" borderId="0" xfId="0" applyFont="1" applyFill="1" applyAlignment="1">
      <alignment/>
    </xf>
    <xf numFmtId="0" fontId="29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10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ont="1" applyFill="1" applyAlignment="1">
      <alignment/>
    </xf>
    <xf numFmtId="164" fontId="18" fillId="5" borderId="0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0" fillId="13" borderId="0" xfId="0" applyFill="1" applyAlignment="1">
      <alignment horizontal="center"/>
    </xf>
    <xf numFmtId="180" fontId="0" fillId="5" borderId="0" xfId="0" applyNumberFormat="1" applyFill="1" applyAlignment="1">
      <alignment horizontal="center"/>
    </xf>
    <xf numFmtId="166" fontId="0" fillId="4" borderId="12" xfId="0" applyNumberFormat="1" applyFill="1" applyBorder="1" applyAlignment="1">
      <alignment/>
    </xf>
    <xf numFmtId="1" fontId="18" fillId="5" borderId="0" xfId="0" applyNumberFormat="1" applyFont="1" applyFill="1" applyAlignment="1">
      <alignment/>
    </xf>
    <xf numFmtId="177" fontId="0" fillId="3" borderId="0" xfId="0" applyNumberFormat="1" applyFill="1" applyBorder="1" applyAlignment="1">
      <alignment/>
    </xf>
    <xf numFmtId="165" fontId="0" fillId="4" borderId="13" xfId="0" applyNumberFormat="1" applyFill="1" applyBorder="1" applyAlignment="1">
      <alignment/>
    </xf>
    <xf numFmtId="165" fontId="0" fillId="4" borderId="16" xfId="0" applyNumberFormat="1" applyFill="1" applyBorder="1" applyAlignment="1">
      <alignment/>
    </xf>
    <xf numFmtId="0" fontId="0" fillId="3" borderId="0" xfId="0" applyFont="1" applyFill="1" applyAlignment="1">
      <alignment horizontal="center"/>
    </xf>
    <xf numFmtId="166" fontId="46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166" fontId="46" fillId="3" borderId="7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65" fontId="37" fillId="3" borderId="0" xfId="0" applyNumberFormat="1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ont="1" applyFill="1" applyAlignment="1">
      <alignment horizontal="right"/>
    </xf>
    <xf numFmtId="3" fontId="0" fillId="4" borderId="16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3" fontId="0" fillId="3" borderId="0" xfId="0" applyNumberFormat="1" applyFont="1" applyFill="1" applyAlignment="1">
      <alignment/>
    </xf>
    <xf numFmtId="0" fontId="38" fillId="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5" fillId="15" borderId="0" xfId="0" applyFont="1" applyFill="1" applyAlignment="1">
      <alignment horizontal="left"/>
    </xf>
    <xf numFmtId="0" fontId="0" fillId="15" borderId="0" xfId="0" applyFill="1" applyAlignment="1">
      <alignment/>
    </xf>
    <xf numFmtId="1" fontId="0" fillId="0" borderId="0" xfId="0" applyNumberFormat="1" applyAlignment="1">
      <alignment/>
    </xf>
    <xf numFmtId="3" fontId="0" fillId="5" borderId="4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1" fontId="25" fillId="3" borderId="0" xfId="0" applyNumberFormat="1" applyFont="1" applyFill="1" applyBorder="1" applyAlignment="1">
      <alignment/>
    </xf>
    <xf numFmtId="1" fontId="25" fillId="3" borderId="0" xfId="0" applyNumberFormat="1" applyFont="1" applyFill="1" applyAlignment="1">
      <alignment/>
    </xf>
    <xf numFmtId="0" fontId="25" fillId="3" borderId="0" xfId="0" applyFont="1" applyFill="1" applyAlignment="1">
      <alignment/>
    </xf>
    <xf numFmtId="0" fontId="0" fillId="3" borderId="0" xfId="0" applyFill="1" applyBorder="1" applyAlignment="1" quotePrefix="1">
      <alignment/>
    </xf>
    <xf numFmtId="0" fontId="0" fillId="3" borderId="0" xfId="0" applyFill="1" applyAlignment="1" quotePrefix="1">
      <alignment/>
    </xf>
    <xf numFmtId="1" fontId="0" fillId="3" borderId="0" xfId="0" applyNumberFormat="1" applyFill="1" applyBorder="1" applyAlignment="1" quotePrefix="1">
      <alignment/>
    </xf>
    <xf numFmtId="180" fontId="0" fillId="3" borderId="0" xfId="0" applyNumberFormat="1" applyFont="1" applyFill="1" applyBorder="1" applyAlignment="1">
      <alignment/>
    </xf>
    <xf numFmtId="0" fontId="60" fillId="3" borderId="0" xfId="0" applyFont="1" applyFill="1" applyAlignment="1">
      <alignment/>
    </xf>
    <xf numFmtId="165" fontId="37" fillId="3" borderId="0" xfId="0" applyNumberFormat="1" applyFont="1" applyFill="1" applyBorder="1" applyAlignment="1">
      <alignment horizontal="center"/>
    </xf>
    <xf numFmtId="9" fontId="45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0" fontId="0" fillId="3" borderId="0" xfId="0" applyNumberFormat="1" applyFill="1" applyAlignment="1">
      <alignment/>
    </xf>
    <xf numFmtId="0" fontId="0" fillId="3" borderId="18" xfId="0" applyFill="1" applyBorder="1" applyAlignment="1">
      <alignment/>
    </xf>
    <xf numFmtId="0" fontId="3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1" fontId="1" fillId="3" borderId="0" xfId="0" applyNumberFormat="1" applyFont="1" applyFill="1" applyBorder="1" applyAlignment="1">
      <alignment horizontal="center"/>
    </xf>
    <xf numFmtId="188" fontId="0" fillId="8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65" fontId="0" fillId="6" borderId="0" xfId="0" applyNumberFormat="1" applyFont="1" applyFill="1" applyAlignment="1">
      <alignment/>
    </xf>
    <xf numFmtId="188" fontId="0" fillId="9" borderId="0" xfId="0" applyNumberFormat="1" applyFont="1" applyFill="1" applyAlignment="1">
      <alignment/>
    </xf>
    <xf numFmtId="188" fontId="0" fillId="6" borderId="0" xfId="0" applyNumberFormat="1" applyFont="1" applyFill="1" applyAlignment="1">
      <alignment/>
    </xf>
    <xf numFmtId="0" fontId="40" fillId="3" borderId="0" xfId="0" applyFont="1" applyFill="1" applyAlignment="1">
      <alignment horizontal="left"/>
    </xf>
    <xf numFmtId="0" fontId="39" fillId="3" borderId="0" xfId="0" applyFont="1" applyFill="1" applyAlignment="1">
      <alignment horizontal="left"/>
    </xf>
    <xf numFmtId="180" fontId="10" fillId="3" borderId="0" xfId="0" applyNumberFormat="1" applyFont="1" applyFill="1" applyAlignment="1">
      <alignment/>
    </xf>
    <xf numFmtId="10" fontId="10" fillId="3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1" fillId="14" borderId="0" xfId="0" applyFont="1" applyFill="1" applyAlignment="1">
      <alignment/>
    </xf>
    <xf numFmtId="0" fontId="1" fillId="5" borderId="0" xfId="0" applyFont="1" applyFill="1" applyAlignment="1">
      <alignment/>
    </xf>
    <xf numFmtId="179" fontId="7" fillId="3" borderId="0" xfId="0" applyNumberFormat="1" applyFont="1" applyFill="1" applyBorder="1" applyAlignment="1">
      <alignment/>
    </xf>
    <xf numFmtId="179" fontId="45" fillId="3" borderId="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3" borderId="0" xfId="0" applyFont="1" applyFill="1" applyAlignment="1">
      <alignment/>
    </xf>
    <xf numFmtId="0" fontId="24" fillId="3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164" fontId="18" fillId="4" borderId="3" xfId="0" applyNumberFormat="1" applyFont="1" applyFill="1" applyBorder="1" applyAlignment="1">
      <alignment horizontal="center"/>
    </xf>
    <xf numFmtId="177" fontId="0" fillId="3" borderId="0" xfId="0" applyNumberFormat="1" applyFont="1" applyFill="1" applyAlignment="1">
      <alignment/>
    </xf>
    <xf numFmtId="0" fontId="19" fillId="3" borderId="0" xfId="0" applyFont="1" applyFill="1" applyAlignment="1">
      <alignment horizontal="right"/>
    </xf>
    <xf numFmtId="1" fontId="18" fillId="3" borderId="0" xfId="0" applyNumberFormat="1" applyFont="1" applyFill="1" applyAlignment="1">
      <alignment/>
    </xf>
    <xf numFmtId="0" fontId="61" fillId="3" borderId="0" xfId="0" applyFont="1" applyFill="1" applyAlignment="1">
      <alignment/>
    </xf>
    <xf numFmtId="0" fontId="7" fillId="3" borderId="19" xfId="0" applyFont="1" applyFill="1" applyBorder="1" applyAlignment="1">
      <alignment horizontal="center"/>
    </xf>
    <xf numFmtId="177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6" fontId="0" fillId="3" borderId="0" xfId="0" applyNumberFormat="1" applyFont="1" applyFill="1" applyAlignment="1">
      <alignment/>
    </xf>
    <xf numFmtId="0" fontId="26" fillId="3" borderId="0" xfId="0" applyFont="1" applyFill="1" applyAlignment="1">
      <alignment/>
    </xf>
    <xf numFmtId="165" fontId="0" fillId="5" borderId="11" xfId="0" applyNumberFormat="1" applyFill="1" applyBorder="1" applyAlignment="1">
      <alignment/>
    </xf>
    <xf numFmtId="165" fontId="0" fillId="5" borderId="15" xfId="0" applyNumberFormat="1" applyFill="1" applyBorder="1" applyAlignment="1">
      <alignment/>
    </xf>
    <xf numFmtId="165" fontId="0" fillId="11" borderId="0" xfId="0" applyNumberFormat="1" applyFill="1" applyAlignment="1">
      <alignment/>
    </xf>
    <xf numFmtId="165" fontId="45" fillId="3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39" fillId="3" borderId="0" xfId="0" applyFont="1" applyFill="1" applyAlignment="1">
      <alignment/>
    </xf>
    <xf numFmtId="0" fontId="0" fillId="5" borderId="3" xfId="0" applyFill="1" applyBorder="1" applyAlignment="1">
      <alignment horizontal="center"/>
    </xf>
    <xf numFmtId="0" fontId="45" fillId="0" borderId="0" xfId="0" applyFont="1" applyAlignment="1">
      <alignment horizontal="center"/>
    </xf>
    <xf numFmtId="165" fontId="10" fillId="3" borderId="0" xfId="0" applyNumberFormat="1" applyFont="1" applyFill="1" applyBorder="1" applyAlignment="1">
      <alignment/>
    </xf>
    <xf numFmtId="0" fontId="27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56" fillId="3" borderId="0" xfId="0" applyFont="1" applyFill="1" applyAlignment="1">
      <alignment/>
    </xf>
    <xf numFmtId="0" fontId="0" fillId="3" borderId="11" xfId="0" applyFont="1" applyFill="1" applyBorder="1" applyAlignment="1">
      <alignment/>
    </xf>
    <xf numFmtId="187" fontId="0" fillId="3" borderId="0" xfId="0" applyNumberFormat="1" applyFill="1" applyAlignment="1">
      <alignment/>
    </xf>
    <xf numFmtId="165" fontId="0" fillId="3" borderId="20" xfId="0" applyNumberFormat="1" applyFill="1" applyBorder="1" applyAlignment="1">
      <alignment/>
    </xf>
    <xf numFmtId="165" fontId="0" fillId="9" borderId="20" xfId="0" applyNumberFormat="1" applyFill="1" applyBorder="1" applyAlignment="1">
      <alignment/>
    </xf>
    <xf numFmtId="164" fontId="1" fillId="3" borderId="11" xfId="0" applyNumberFormat="1" applyFont="1" applyFill="1" applyBorder="1" applyAlignment="1">
      <alignment horizontal="center"/>
    </xf>
    <xf numFmtId="0" fontId="75" fillId="3" borderId="0" xfId="0" applyFont="1" applyFill="1" applyAlignment="1">
      <alignment/>
    </xf>
    <xf numFmtId="0" fontId="76" fillId="0" borderId="0" xfId="0" applyFont="1" applyAlignment="1">
      <alignment/>
    </xf>
    <xf numFmtId="9" fontId="0" fillId="4" borderId="16" xfId="0" applyNumberFormat="1" applyFill="1" applyBorder="1" applyAlignment="1">
      <alignment horizontal="center"/>
    </xf>
    <xf numFmtId="9" fontId="45" fillId="3" borderId="7" xfId="0" applyNumberFormat="1" applyFont="1" applyFill="1" applyBorder="1" applyAlignment="1">
      <alignment horizontal="center"/>
    </xf>
    <xf numFmtId="165" fontId="0" fillId="8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1" fontId="0" fillId="3" borderId="16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5" fontId="10" fillId="2" borderId="0" xfId="0" applyNumberFormat="1" applyFont="1" applyFill="1" applyAlignment="1">
      <alignment/>
    </xf>
    <xf numFmtId="0" fontId="67" fillId="0" borderId="0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67" fillId="0" borderId="0" xfId="0" applyFont="1" applyAlignment="1">
      <alignment horizontal="left" wrapText="1"/>
    </xf>
    <xf numFmtId="0" fontId="45" fillId="3" borderId="0" xfId="0" applyFont="1" applyFill="1" applyBorder="1" applyAlignment="1">
      <alignment horizontal="center"/>
    </xf>
    <xf numFmtId="165" fontId="37" fillId="3" borderId="0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center"/>
    </xf>
    <xf numFmtId="165" fontId="45" fillId="3" borderId="7" xfId="0" applyNumberFormat="1" applyFont="1" applyFill="1" applyBorder="1" applyAlignment="1">
      <alignment horizontal="center"/>
    </xf>
    <xf numFmtId="0" fontId="56" fillId="4" borderId="21" xfId="0" applyFont="1" applyFill="1" applyBorder="1" applyAlignment="1">
      <alignment horizontal="left" vertical="center"/>
    </xf>
    <xf numFmtId="0" fontId="56" fillId="4" borderId="19" xfId="0" applyFont="1" applyFill="1" applyBorder="1" applyAlignment="1">
      <alignment horizontal="left" vertical="center"/>
    </xf>
    <xf numFmtId="0" fontId="56" fillId="4" borderId="22" xfId="0" applyFont="1" applyFill="1" applyBorder="1" applyAlignment="1">
      <alignment horizontal="left" vertical="center"/>
    </xf>
    <xf numFmtId="0" fontId="56" fillId="4" borderId="23" xfId="0" applyFont="1" applyFill="1" applyBorder="1" applyAlignment="1">
      <alignment horizontal="left" vertical="center"/>
    </xf>
    <xf numFmtId="0" fontId="56" fillId="4" borderId="7" xfId="0" applyFont="1" applyFill="1" applyBorder="1" applyAlignment="1">
      <alignment horizontal="left" vertical="center"/>
    </xf>
    <xf numFmtId="0" fontId="56" fillId="4" borderId="24" xfId="0" applyFont="1" applyFill="1" applyBorder="1" applyAlignment="1">
      <alignment horizontal="left" vertical="center"/>
    </xf>
    <xf numFmtId="0" fontId="60" fillId="3" borderId="0" xfId="0" applyFont="1" applyFill="1" applyAlignment="1">
      <alignment horizontal="left"/>
    </xf>
    <xf numFmtId="0" fontId="60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 wrapText="1"/>
    </xf>
    <xf numFmtId="0" fontId="45" fillId="3" borderId="7" xfId="0" applyFont="1" applyFill="1" applyBorder="1" applyAlignment="1">
      <alignment horizontal="center"/>
    </xf>
    <xf numFmtId="0" fontId="77" fillId="16" borderId="0" xfId="0" applyFont="1" applyFill="1" applyAlignment="1">
      <alignment horizontal="left" vertical="justify" wrapText="1"/>
    </xf>
    <xf numFmtId="0" fontId="45" fillId="3" borderId="1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7" fillId="3" borderId="0" xfId="0" applyFont="1" applyFill="1" applyBorder="1" applyAlignment="1">
      <alignment horizontal="left" vertical="justify" wrapText="1"/>
    </xf>
    <xf numFmtId="0" fontId="12" fillId="3" borderId="0" xfId="0" applyFont="1" applyFill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67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5" fillId="3" borderId="0" xfId="0" applyFont="1" applyFill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51" fillId="3" borderId="26" xfId="0" applyFont="1" applyFill="1" applyBorder="1" applyAlignment="1">
      <alignment horizontal="left"/>
    </xf>
    <xf numFmtId="0" fontId="48" fillId="3" borderId="0" xfId="0" applyFont="1" applyFill="1" applyAlignment="1">
      <alignment horizontal="left"/>
    </xf>
    <xf numFmtId="0" fontId="50" fillId="3" borderId="7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48" fillId="3" borderId="0" xfId="0" applyFont="1" applyFill="1" applyBorder="1" applyAlignment="1">
      <alignment horizontal="left"/>
    </xf>
    <xf numFmtId="0" fontId="0" fillId="15" borderId="4" xfId="0" applyFont="1" applyFill="1" applyBorder="1" applyAlignment="1">
      <alignment horizontal="left"/>
    </xf>
    <xf numFmtId="0" fontId="0" fillId="15" borderId="0" xfId="0" applyFont="1" applyFill="1" applyAlignment="1">
      <alignment horizontal="left"/>
    </xf>
    <xf numFmtId="0" fontId="44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45" fillId="3" borderId="19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1" fillId="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Percentages of Direct Costs for Ellen's Condition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1EllensCare!$B$25:$B$29</c:f>
              <c:strCache>
                <c:ptCount val="5"/>
                <c:pt idx="0">
                  <c:v>Emergency response</c:v>
                </c:pt>
                <c:pt idx="1">
                  <c:v>Coroner</c:v>
                </c:pt>
                <c:pt idx="2">
                  <c:v>Funeral service</c:v>
                </c:pt>
                <c:pt idx="3">
                  <c:v>Cemetary expense</c:v>
                </c:pt>
                <c:pt idx="4">
                  <c:v>Grave marker</c:v>
                </c:pt>
              </c:strCache>
            </c:strRef>
          </c:cat>
          <c:val>
            <c:numRef>
              <c:f>1EllensCare!$C$25:$C$29</c:f>
              <c:numCache>
                <c:ptCount val="5"/>
                <c:pt idx="0">
                  <c:v>3000</c:v>
                </c:pt>
                <c:pt idx="1">
                  <c:v>300</c:v>
                </c:pt>
                <c:pt idx="2">
                  <c:v>12000</c:v>
                </c:pt>
                <c:pt idx="3">
                  <c:v>6000</c:v>
                </c:pt>
                <c:pt idx="4">
                  <c:v>2500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Farm-related Noise Exposure Time per Year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9ExposureHours!$B$10</c:f>
              <c:strCache>
                <c:ptCount val="1"/>
                <c:pt idx="0">
                  <c:v>Hours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9ExposureHours!$A$11:$A$12</c:f>
              <c:strCache>
                <c:ptCount val="2"/>
                <c:pt idx="0">
                  <c:v>Dangerous Noise Exposure</c:v>
                </c:pt>
                <c:pt idx="1">
                  <c:v>Lower Noise Exposure</c:v>
                </c:pt>
              </c:strCache>
            </c:strRef>
          </c:cat>
          <c:val>
            <c:numRef>
              <c:f>9ExposureHours!$B$11:$B$12</c:f>
              <c:numCache>
                <c:ptCount val="2"/>
                <c:pt idx="0">
                  <c:v>200</c:v>
                </c:pt>
                <c:pt idx="1">
                  <c:v>1800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Effectiveness of earplug protection</a:t>
            </a:r>
          </a:p>
        </c:rich>
      </c:tx>
      <c:layout>
        <c:manualLayout>
          <c:xMode val="factor"/>
          <c:yMode val="factor"/>
          <c:x val="0.084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175"/>
          <c:w val="0.756"/>
          <c:h val="0.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'10EarPlugEffectiveness'!$B$11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'10EarPlugEffectiveness'!$A$12:$A$22</c:f>
              <c:strCache>
                <c:ptCount val="11"/>
                <c:pt idx="0">
                  <c:v>Shotgun</c:v>
                </c:pt>
                <c:pt idx="1">
                  <c:v>Chain saw</c:v>
                </c:pt>
                <c:pt idx="2">
                  <c:v>Pig handling</c:v>
                </c:pt>
                <c:pt idx="3">
                  <c:v>Irrigation pump</c:v>
                </c:pt>
                <c:pt idx="4">
                  <c:v>Grinder</c:v>
                </c:pt>
                <c:pt idx="5">
                  <c:v>Circular Saw</c:v>
                </c:pt>
                <c:pt idx="6">
                  <c:v>Bulldozer</c:v>
                </c:pt>
                <c:pt idx="7">
                  <c:v>Tractor</c:v>
                </c:pt>
                <c:pt idx="8">
                  <c:v>Auger</c:v>
                </c:pt>
                <c:pt idx="9">
                  <c:v>Combine</c:v>
                </c:pt>
                <c:pt idx="10">
                  <c:v>Air compressor</c:v>
                </c:pt>
              </c:strCache>
            </c:strRef>
          </c:cat>
          <c:val>
            <c:numRef>
              <c:f>'10EarPlugEffectiveness'!$B$12:$B$22</c:f>
              <c:numCache>
                <c:ptCount val="11"/>
                <c:pt idx="0">
                  <c:v>140.25</c:v>
                </c:pt>
                <c:pt idx="1">
                  <c:v>85.25</c:v>
                </c:pt>
                <c:pt idx="2">
                  <c:v>84.25</c:v>
                </c:pt>
                <c:pt idx="3">
                  <c:v>75.25</c:v>
                </c:pt>
                <c:pt idx="4">
                  <c:v>74.25</c:v>
                </c:pt>
                <c:pt idx="5">
                  <c:v>74.25</c:v>
                </c:pt>
                <c:pt idx="6">
                  <c:v>74.25</c:v>
                </c:pt>
                <c:pt idx="7">
                  <c:v>71.25</c:v>
                </c:pt>
                <c:pt idx="8">
                  <c:v>68.25</c:v>
                </c:pt>
                <c:pt idx="9">
                  <c:v>65.25</c:v>
                </c:pt>
                <c:pt idx="10">
                  <c:v>61.25</c:v>
                </c:pt>
              </c:numCache>
            </c:numRef>
          </c:val>
        </c:ser>
        <c:ser>
          <c:idx val="1"/>
          <c:order val="1"/>
          <c:tx>
            <c:strRef>
              <c:f>'10EarPlugEffectiveness'!$C$11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'10EarPlugEffectiveness'!$A$12:$A$22</c:f>
              <c:strCache>
                <c:ptCount val="11"/>
                <c:pt idx="0">
                  <c:v>Shotgun</c:v>
                </c:pt>
                <c:pt idx="1">
                  <c:v>Chain saw</c:v>
                </c:pt>
                <c:pt idx="2">
                  <c:v>Pig handling</c:v>
                </c:pt>
                <c:pt idx="3">
                  <c:v>Irrigation pump</c:v>
                </c:pt>
                <c:pt idx="4">
                  <c:v>Grinder</c:v>
                </c:pt>
                <c:pt idx="5">
                  <c:v>Circular Saw</c:v>
                </c:pt>
                <c:pt idx="6">
                  <c:v>Bulldozer</c:v>
                </c:pt>
                <c:pt idx="7">
                  <c:v>Tractor</c:v>
                </c:pt>
                <c:pt idx="8">
                  <c:v>Auger</c:v>
                </c:pt>
                <c:pt idx="9">
                  <c:v>Combine</c:v>
                </c:pt>
                <c:pt idx="10">
                  <c:v>Air compressor</c:v>
                </c:pt>
              </c:strCache>
            </c:strRef>
          </c:cat>
          <c:val>
            <c:numRef>
              <c:f>'10EarPlugEffectiveness'!$C$12:$C$22</c:f>
              <c:numCache>
                <c:ptCount val="11"/>
                <c:pt idx="0">
                  <c:v>24.75</c:v>
                </c:pt>
                <c:pt idx="1">
                  <c:v>24.75</c:v>
                </c:pt>
                <c:pt idx="2">
                  <c:v>24.75</c:v>
                </c:pt>
                <c:pt idx="3">
                  <c:v>24.75</c:v>
                </c:pt>
                <c:pt idx="4">
                  <c:v>24.75</c:v>
                </c:pt>
                <c:pt idx="5">
                  <c:v>24.75</c:v>
                </c:pt>
                <c:pt idx="6">
                  <c:v>24.75</c:v>
                </c:pt>
                <c:pt idx="7">
                  <c:v>24.75</c:v>
                </c:pt>
                <c:pt idx="8">
                  <c:v>24.75</c:v>
                </c:pt>
                <c:pt idx="9">
                  <c:v>24.75</c:v>
                </c:pt>
                <c:pt idx="10">
                  <c:v>24.75</c:v>
                </c:pt>
              </c:numCache>
            </c:numRef>
          </c:val>
        </c:ser>
        <c:overlap val="100"/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186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1978639"/>
        <c:crossesAt val="85"/>
        <c:auto val="1"/>
        <c:lblOffset val="100"/>
        <c:tickLblSkip val="1"/>
        <c:noMultiLvlLbl val="0"/>
      </c:catAx>
      <c:valAx>
        <c:axId val="119786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36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Consequences of Hearing Impairment on Injuries per 100 Workers per Year</a:t>
            </a:r>
          </a:p>
        </c:rich>
      </c:tx>
      <c:layout>
        <c:manualLayout>
          <c:xMode val="factor"/>
          <c:yMode val="factor"/>
          <c:x val="-0.01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12675"/>
          <c:w val="0.96625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'11Probabilities'!$C$21</c:f>
              <c:strCache>
                <c:ptCount val="1"/>
                <c:pt idx="0">
                  <c:v>No hearing impairment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'11Probabilities'!$B$23:$B$23</c:f>
              <c:numCache>
                <c:ptCount val="1"/>
              </c:numCache>
            </c:numRef>
          </c:cat>
          <c:val>
            <c:numRef>
              <c:f>'11Probabilities'!$C$23:$C$23</c:f>
              <c:numCache>
                <c:ptCount val="1"/>
                <c:pt idx="0">
                  <c:v>0.02321107772020725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'11Probabilities'!$D$21</c:f>
              <c:strCache>
                <c:ptCount val="1"/>
                <c:pt idx="0">
                  <c:v>Hearing impairment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'11Probabilities'!$B$23:$B$23</c:f>
              <c:numCache>
                <c:ptCount val="1"/>
              </c:numCache>
            </c:numRef>
          </c:cat>
          <c:val>
            <c:numRef>
              <c:f>'11Probabilities'!$D$23:$D$23</c:f>
              <c:numCache>
                <c:ptCount val="1"/>
                <c:pt idx="0">
                  <c:v>0.06273264248704669</c:v>
                </c:pt>
              </c:numCache>
            </c:numRef>
          </c:val>
          <c:shape val="pyramid"/>
        </c:ser>
        <c:shape val="pyramid"/>
        <c:axId val="40698888"/>
        <c:axId val="30745673"/>
      </c:bar3D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45673"/>
        <c:crosses val="autoZero"/>
        <c:auto val="1"/>
        <c:lblOffset val="100"/>
        <c:noMultiLvlLbl val="0"/>
      </c:catAx>
      <c:valAx>
        <c:axId val="30745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of Injury</a:t>
                </a:r>
              </a:p>
            </c:rich>
          </c:tx>
          <c:layout>
            <c:manualLayout>
              <c:xMode val="factor"/>
              <c:yMode val="factor"/>
              <c:x val="0.07375"/>
              <c:y val="-0.3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0698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75"/>
          <c:y val="0.16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Injuries Averted by Wearing Protection per 100,000 Farmers per Year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25"/>
          <c:y val="0.36575"/>
          <c:w val="0.63625"/>
          <c:h val="0.307"/>
        </c:manualLayout>
      </c:layout>
      <c:pie3DChart>
        <c:varyColors val="1"/>
        <c:ser>
          <c:idx val="0"/>
          <c:order val="0"/>
          <c:tx>
            <c:strRef>
              <c:f>'11DecisionTree'!$P$15</c:f>
              <c:strCache>
                <c:ptCount val="1"/>
                <c:pt idx="0">
                  <c:v>In juries Averted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'11DecisionTree'!$O$16:$O$19</c:f>
              <c:strCache/>
            </c:strRef>
          </c:cat>
          <c:val>
            <c:numRef>
              <c:f>'11DecisionTree'!$P$16:$P$19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943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Effect of Inflation on the Value of Money 
from 1997 to 2005</a:t>
            </a:r>
          </a:p>
        </c:rich>
      </c:tx>
      <c:layout>
        <c:manualLayout>
          <c:xMode val="factor"/>
          <c:yMode val="factor"/>
          <c:x val="0.01325"/>
          <c:y val="-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435"/>
          <c:w val="0.966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'12Schedule'!$B$27:$B$28</c:f>
              <c:strCache>
                <c:ptCount val="2"/>
                <c:pt idx="0">
                  <c:v>No inflation</c:v>
                </c:pt>
                <c:pt idx="1">
                  <c:v>With inflation</c:v>
                </c:pt>
              </c:strCache>
            </c:strRef>
          </c:cat>
          <c:val>
            <c:numRef>
              <c:f>'12Schedule'!$C$27:$C$28</c:f>
              <c:numCache>
                <c:ptCount val="2"/>
                <c:pt idx="0">
                  <c:v>750283</c:v>
                </c:pt>
                <c:pt idx="1">
                  <c:v>931176.2313000001</c:v>
                </c:pt>
              </c:numCache>
            </c:numRef>
          </c:val>
          <c:shape val="box"/>
        </c:ser>
        <c:shape val="box"/>
        <c:axId val="8275602"/>
        <c:axId val="7371555"/>
      </c:bar3D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371555"/>
        <c:crosses val="autoZero"/>
        <c:auto val="1"/>
        <c:lblOffset val="100"/>
        <c:noMultiLvlLbl val="0"/>
      </c:catAx>
      <c:valAx>
        <c:axId val="7371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Discount Rate Comparison for Kentucky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'17Discounting'!$C$25</c:f>
              <c:strCache>
                <c:ptCount val="1"/>
                <c:pt idx="0">
                  <c:v>0.0%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'17Discounting'!$B$26:$B$30</c:f>
              <c:strCache/>
            </c:strRef>
          </c:cat>
          <c:val>
            <c:numRef>
              <c:f>'17Discounting'!$C$26:$C$30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'17Discounting'!$D$25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'17Discounting'!$B$26:$B$30</c:f>
              <c:strCache/>
            </c:strRef>
          </c:cat>
          <c:val>
            <c:numRef>
              <c:f>'17Discounting'!$D$26:$D$30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343996"/>
        <c:axId val="60225053"/>
      </c:bar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Injury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4399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Hearing Loss Costs Over a Person's Lifetime Adjusted from 2000 to 2005 Dollars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'13NoiseSchedule'!$B$31:$B$33</c:f>
              <c:strCache>
                <c:ptCount val="3"/>
                <c:pt idx="0">
                  <c:v>Direct Medical</c:v>
                </c:pt>
                <c:pt idx="1">
                  <c:v>Direct Non-medical</c:v>
                </c:pt>
                <c:pt idx="2">
                  <c:v>Productivity Losses</c:v>
                </c:pt>
              </c:strCache>
            </c:strRef>
          </c:cat>
          <c:val>
            <c:numRef>
              <c:f>'13NoiseSchedule'!$C$31:$C$33</c:f>
              <c:numCache>
                <c:ptCount val="3"/>
                <c:pt idx="0">
                  <c:v>26711.668800000003</c:v>
                </c:pt>
                <c:pt idx="1">
                  <c:v>77146.992</c:v>
                </c:pt>
                <c:pt idx="2">
                  <c:v>272170.7472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Lifetime Net Cost Savings per Protected Person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615"/>
          <c:w val="0.93625"/>
          <c:h val="0.757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'14CostEffectiveness'!$A$10</c:f>
              <c:numCache>
                <c:ptCount val="1"/>
                <c:pt idx="0">
                  <c:v>438400.68639059074</c:v>
                </c:pt>
              </c:numCache>
            </c:numRef>
          </c:val>
          <c:shape val="cylinder"/>
        </c:ser>
        <c:shape val="cylinder"/>
        <c:axId val="5154566"/>
        <c:axId val="46391095"/>
      </c:bar3DChart>
      <c:catAx>
        <c:axId val="515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4566"/>
        <c:crossesAt val="1"/>
        <c:crossBetween val="between"/>
        <c:dispUnits/>
        <c:majorUnit val="120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Break-Even Point (Payback Period)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2875"/>
          <c:w val="0.966"/>
          <c:h val="0.7917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'19BreakEven'!$B$17:$B$19</c:f>
              <c:strCache/>
            </c:strRef>
          </c:cat>
          <c:val>
            <c:numRef>
              <c:f>'19BreakEven'!$C$17:$C$19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'19BreakEven'!$B$17:$B$19</c:f>
              <c:strCache/>
            </c:strRef>
          </c:cat>
          <c:val>
            <c:numRef>
              <c:f>'19BreakEven'!$D$17:$D$19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14866672"/>
        <c:axId val="66691185"/>
      </c:bar3DChart>
      <c:catAx>
        <c:axId val="1486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91185"/>
        <c:crosses val="autoZero"/>
        <c:auto val="1"/>
        <c:lblOffset val="100"/>
        <c:noMultiLvlLbl val="0"/>
      </c:catAx>
      <c:val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66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Benefit/Cost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'20BenefitCost'!$B$19</c:f>
              <c:strCache>
                <c:ptCount val="1"/>
                <c:pt idx="0">
                  <c:v>Benefit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'20BenefitCost'!$C$18:$F$18</c:f>
              <c:strCache/>
            </c:strRef>
          </c:cat>
          <c:val>
            <c:numRef>
              <c:f>'20BenefitCost'!$C$19:$F$19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'20BenefitCost'!$B$20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'20BenefitCost'!$C$18:$F$18</c:f>
              <c:strCache/>
            </c:strRef>
          </c:cat>
          <c:val>
            <c:numRef>
              <c:f>'20BenefitCost'!$C$20:$F$20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349754"/>
        <c:axId val="33276875"/>
      </c:barChart>
      <c:lineChart>
        <c:grouping val="standard"/>
        <c:varyColors val="0"/>
        <c:ser>
          <c:idx val="2"/>
          <c:order val="2"/>
          <c:tx>
            <c:strRef>
              <c:f>'20BenefitCost'!$B$21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'20BenefitCost'!$C$18:$F$18</c:f>
              <c:strCache/>
            </c:strRef>
          </c:cat>
          <c:val>
            <c:numRef>
              <c:f>'20BenefitCost'!$C$21:$F$21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1056420"/>
        <c:axId val="11072325"/>
      </c:lineChart>
      <c:cat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76875"/>
        <c:crosses val="autoZero"/>
        <c:auto val="0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349754"/>
        <c:crossesAt val="1"/>
        <c:crossBetween val="between"/>
        <c:dispUnits/>
      </c:valAx>
      <c:catAx>
        <c:axId val="31056420"/>
        <c:scaling>
          <c:orientation val="minMax"/>
        </c:scaling>
        <c:axPos val="b"/>
        <c:delete val="1"/>
        <c:majorTickMark val="in"/>
        <c:minorTickMark val="none"/>
        <c:tickLblPos val="nextTo"/>
        <c:crossAx val="11072325"/>
        <c:crosses val="autoZero"/>
        <c:auto val="0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56420"/>
        <c:crosses val="max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Pete's Noise Exposures in Decibels Over 8 Hours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5"/>
          <c:y val="0.13725"/>
          <c:w val="0.69125"/>
          <c:h val="0.8395"/>
        </c:manualLayout>
      </c:layout>
      <c:areaChart>
        <c:grouping val="standard"/>
        <c:varyColors val="0"/>
        <c:ser>
          <c:idx val="2"/>
          <c:order val="0"/>
          <c:tx>
            <c:strRef>
              <c:f>Sheet2!$E$13</c:f>
              <c:strCache>
                <c:ptCount val="1"/>
                <c:pt idx="0">
                  <c:v>Average exposure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Sheet2!$E$14:$E$93</c:f>
              <c:numCache>
                <c:ptCount val="80"/>
                <c:pt idx="0">
                  <c:v>92.55</c:v>
                </c:pt>
                <c:pt idx="1">
                  <c:v>92.55</c:v>
                </c:pt>
                <c:pt idx="2">
                  <c:v>92.55</c:v>
                </c:pt>
                <c:pt idx="3">
                  <c:v>92.55</c:v>
                </c:pt>
                <c:pt idx="4">
                  <c:v>92.55</c:v>
                </c:pt>
                <c:pt idx="5">
                  <c:v>92.55</c:v>
                </c:pt>
                <c:pt idx="6">
                  <c:v>92.55</c:v>
                </c:pt>
                <c:pt idx="7">
                  <c:v>92.55</c:v>
                </c:pt>
                <c:pt idx="8">
                  <c:v>92.55</c:v>
                </c:pt>
                <c:pt idx="9">
                  <c:v>92.55</c:v>
                </c:pt>
                <c:pt idx="10">
                  <c:v>92.55</c:v>
                </c:pt>
                <c:pt idx="11">
                  <c:v>92.55</c:v>
                </c:pt>
                <c:pt idx="12">
                  <c:v>92.55</c:v>
                </c:pt>
                <c:pt idx="13">
                  <c:v>92.55</c:v>
                </c:pt>
                <c:pt idx="14">
                  <c:v>92.55</c:v>
                </c:pt>
                <c:pt idx="15">
                  <c:v>92.55</c:v>
                </c:pt>
                <c:pt idx="16">
                  <c:v>92.55</c:v>
                </c:pt>
                <c:pt idx="17">
                  <c:v>92.55</c:v>
                </c:pt>
                <c:pt idx="18">
                  <c:v>92.55</c:v>
                </c:pt>
                <c:pt idx="19">
                  <c:v>92.55</c:v>
                </c:pt>
                <c:pt idx="20">
                  <c:v>92.55</c:v>
                </c:pt>
                <c:pt idx="21">
                  <c:v>92.55</c:v>
                </c:pt>
                <c:pt idx="22">
                  <c:v>92.55</c:v>
                </c:pt>
                <c:pt idx="23">
                  <c:v>92.55</c:v>
                </c:pt>
                <c:pt idx="24">
                  <c:v>92.55</c:v>
                </c:pt>
                <c:pt idx="25">
                  <c:v>92.55</c:v>
                </c:pt>
                <c:pt idx="26">
                  <c:v>92.55</c:v>
                </c:pt>
                <c:pt idx="27">
                  <c:v>92.55</c:v>
                </c:pt>
                <c:pt idx="28">
                  <c:v>92.55</c:v>
                </c:pt>
                <c:pt idx="29">
                  <c:v>92.55</c:v>
                </c:pt>
                <c:pt idx="30">
                  <c:v>92.55</c:v>
                </c:pt>
                <c:pt idx="31">
                  <c:v>92.55</c:v>
                </c:pt>
                <c:pt idx="32">
                  <c:v>92.55</c:v>
                </c:pt>
                <c:pt idx="33">
                  <c:v>92.55</c:v>
                </c:pt>
                <c:pt idx="34">
                  <c:v>92.55</c:v>
                </c:pt>
                <c:pt idx="35">
                  <c:v>92.55</c:v>
                </c:pt>
                <c:pt idx="36">
                  <c:v>92.55</c:v>
                </c:pt>
                <c:pt idx="37">
                  <c:v>92.55</c:v>
                </c:pt>
                <c:pt idx="38">
                  <c:v>92.55</c:v>
                </c:pt>
                <c:pt idx="39">
                  <c:v>92.55</c:v>
                </c:pt>
                <c:pt idx="40">
                  <c:v>92.55</c:v>
                </c:pt>
                <c:pt idx="41">
                  <c:v>92.55</c:v>
                </c:pt>
                <c:pt idx="42">
                  <c:v>92.55</c:v>
                </c:pt>
                <c:pt idx="43">
                  <c:v>92.55</c:v>
                </c:pt>
                <c:pt idx="44">
                  <c:v>92.55</c:v>
                </c:pt>
                <c:pt idx="45">
                  <c:v>92.55</c:v>
                </c:pt>
                <c:pt idx="46">
                  <c:v>92.55</c:v>
                </c:pt>
                <c:pt idx="47">
                  <c:v>92.55</c:v>
                </c:pt>
                <c:pt idx="48">
                  <c:v>92.55</c:v>
                </c:pt>
                <c:pt idx="49">
                  <c:v>92.55</c:v>
                </c:pt>
                <c:pt idx="50">
                  <c:v>92.55</c:v>
                </c:pt>
                <c:pt idx="51">
                  <c:v>92.55</c:v>
                </c:pt>
                <c:pt idx="52">
                  <c:v>92.55</c:v>
                </c:pt>
                <c:pt idx="53">
                  <c:v>92.55</c:v>
                </c:pt>
                <c:pt idx="54">
                  <c:v>92.55</c:v>
                </c:pt>
                <c:pt idx="55">
                  <c:v>92.55</c:v>
                </c:pt>
                <c:pt idx="56">
                  <c:v>92.55</c:v>
                </c:pt>
                <c:pt idx="57">
                  <c:v>92.55</c:v>
                </c:pt>
                <c:pt idx="58">
                  <c:v>92.55</c:v>
                </c:pt>
                <c:pt idx="59">
                  <c:v>92.55</c:v>
                </c:pt>
                <c:pt idx="60">
                  <c:v>92.55</c:v>
                </c:pt>
                <c:pt idx="61">
                  <c:v>92.55</c:v>
                </c:pt>
                <c:pt idx="62">
                  <c:v>92.55</c:v>
                </c:pt>
                <c:pt idx="63">
                  <c:v>92.55</c:v>
                </c:pt>
                <c:pt idx="64">
                  <c:v>92.55</c:v>
                </c:pt>
                <c:pt idx="65">
                  <c:v>92.55</c:v>
                </c:pt>
                <c:pt idx="66">
                  <c:v>92.55</c:v>
                </c:pt>
                <c:pt idx="67">
                  <c:v>92.55</c:v>
                </c:pt>
                <c:pt idx="68">
                  <c:v>92.55</c:v>
                </c:pt>
                <c:pt idx="69">
                  <c:v>92.55</c:v>
                </c:pt>
                <c:pt idx="70">
                  <c:v>92.55</c:v>
                </c:pt>
                <c:pt idx="71">
                  <c:v>92.55</c:v>
                </c:pt>
                <c:pt idx="72">
                  <c:v>92.55</c:v>
                </c:pt>
                <c:pt idx="73">
                  <c:v>92.55</c:v>
                </c:pt>
                <c:pt idx="74">
                  <c:v>92.55</c:v>
                </c:pt>
                <c:pt idx="75">
                  <c:v>92.55</c:v>
                </c:pt>
                <c:pt idx="76">
                  <c:v>92.55</c:v>
                </c:pt>
                <c:pt idx="77">
                  <c:v>92.55</c:v>
                </c:pt>
                <c:pt idx="78">
                  <c:v>92.55</c:v>
                </c:pt>
                <c:pt idx="79">
                  <c:v>92.55</c:v>
                </c:pt>
              </c:numCache>
            </c:numRef>
          </c:val>
        </c:ser>
        <c:ser>
          <c:idx val="0"/>
          <c:order val="1"/>
          <c:tx>
            <c:strRef>
              <c:f>Sheet2!$C$13</c:f>
              <c:strCache>
                <c:ptCount val="1"/>
                <c:pt idx="0">
                  <c:v>8-Hour exposure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Sheet2!$C$14:$C$93</c:f>
              <c:numCache>
                <c:ptCount val="80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96</c:v>
                </c:pt>
                <c:pt idx="29">
                  <c:v>110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89</c:v>
                </c:pt>
                <c:pt idx="44">
                  <c:v>89</c:v>
                </c:pt>
                <c:pt idx="45">
                  <c:v>89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92</c:v>
                </c:pt>
                <c:pt idx="56">
                  <c:v>92</c:v>
                </c:pt>
                <c:pt idx="57">
                  <c:v>92</c:v>
                </c:pt>
                <c:pt idx="58">
                  <c:v>92</c:v>
                </c:pt>
                <c:pt idx="59">
                  <c:v>92</c:v>
                </c:pt>
                <c:pt idx="60">
                  <c:v>92</c:v>
                </c:pt>
                <c:pt idx="61">
                  <c:v>92</c:v>
                </c:pt>
                <c:pt idx="62">
                  <c:v>92</c:v>
                </c:pt>
                <c:pt idx="63">
                  <c:v>92</c:v>
                </c:pt>
                <c:pt idx="64">
                  <c:v>92</c:v>
                </c:pt>
                <c:pt idx="65">
                  <c:v>92</c:v>
                </c:pt>
                <c:pt idx="66">
                  <c:v>92</c:v>
                </c:pt>
                <c:pt idx="67">
                  <c:v>92</c:v>
                </c:pt>
                <c:pt idx="68">
                  <c:v>92</c:v>
                </c:pt>
                <c:pt idx="69">
                  <c:v>92</c:v>
                </c:pt>
                <c:pt idx="70">
                  <c:v>92</c:v>
                </c:pt>
                <c:pt idx="71">
                  <c:v>92</c:v>
                </c:pt>
                <c:pt idx="72">
                  <c:v>92</c:v>
                </c:pt>
                <c:pt idx="73">
                  <c:v>92</c:v>
                </c:pt>
                <c:pt idx="74">
                  <c:v>92</c:v>
                </c:pt>
                <c:pt idx="75">
                  <c:v>92</c:v>
                </c:pt>
                <c:pt idx="76">
                  <c:v>92</c:v>
                </c:pt>
                <c:pt idx="77">
                  <c:v>92</c:v>
                </c:pt>
                <c:pt idx="78">
                  <c:v>92</c:v>
                </c:pt>
                <c:pt idx="79">
                  <c:v>92</c:v>
                </c:pt>
              </c:numCache>
            </c:numRef>
          </c:val>
        </c:ser>
        <c:ser>
          <c:idx val="1"/>
          <c:order val="2"/>
          <c:tx>
            <c:strRef>
              <c:f>Sheet2!$D$13</c:f>
              <c:strCache>
                <c:ptCount val="1"/>
                <c:pt idx="0">
                  <c:v>Hazard limit=85 dB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Sheet2!$D$14:$D$93</c:f>
              <c:numCache>
                <c:ptCount val="8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85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</c:numCache>
            </c:numRef>
          </c:val>
        </c:ser>
        <c:axId val="41410"/>
        <c:axId val="372691"/>
      </c:area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autoZero"/>
        <c:auto val="1"/>
        <c:lblOffset val="100"/>
        <c:tickLblSkip val="1"/>
        <c:tickMarkSkip val="10"/>
        <c:noMultiLvlLbl val="0"/>
      </c:catAx>
      <c:valAx>
        <c:axId val="372691"/>
        <c:scaling>
          <c:orientation val="minMax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1410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882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Percentage of Hours of Lifetime 
Occupational Exposure</a:t>
            </a:r>
          </a:p>
        </c:rich>
      </c:tx>
      <c:layout>
        <c:manualLayout>
          <c:xMode val="factor"/>
          <c:yMode val="factor"/>
          <c:x val="-0.2545"/>
          <c:y val="-0.00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25"/>
          <c:y val="0.4815"/>
          <c:w val="0.50725"/>
          <c:h val="0.2455"/>
        </c:manualLayout>
      </c:layout>
      <c:pie3DChart>
        <c:varyColors val="1"/>
        <c:ser>
          <c:idx val="0"/>
          <c:order val="0"/>
          <c:tx>
            <c:strRef>
              <c:f>3LifetimeExposures!$C$20</c:f>
              <c:strCache>
                <c:ptCount val="1"/>
                <c:pt idx="0">
                  <c:v>Hrs/Yr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3LifetimeExposures!$B$21:$B$26</c:f>
              <c:strCache>
                <c:ptCount val="6"/>
                <c:pt idx="0">
                  <c:v>Tractor</c:v>
                </c:pt>
                <c:pt idx="1">
                  <c:v>Chain saw</c:v>
                </c:pt>
                <c:pt idx="2">
                  <c:v>Combine</c:v>
                </c:pt>
                <c:pt idx="3">
                  <c:v>Grain dryer</c:v>
                </c:pt>
                <c:pt idx="4">
                  <c:v>Other agricultural</c:v>
                </c:pt>
                <c:pt idx="5">
                  <c:v>Other occupational</c:v>
                </c:pt>
              </c:strCache>
            </c:strRef>
          </c:cat>
          <c:val>
            <c:numRef>
              <c:f>3LifetimeExposures!$C$21:$C$26</c:f>
              <c:numCache>
                <c:ptCount val="6"/>
                <c:pt idx="0">
                  <c:v>28670</c:v>
                </c:pt>
                <c:pt idx="1">
                  <c:v>1826</c:v>
                </c:pt>
                <c:pt idx="2">
                  <c:v>5549</c:v>
                </c:pt>
                <c:pt idx="3">
                  <c:v>7117</c:v>
                </c:pt>
                <c:pt idx="4">
                  <c:v>12188</c:v>
                </c:pt>
                <c:pt idx="5">
                  <c:v>24650.000000000007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Farmer Noise Exposures in Decibels Over 8 Hours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775"/>
          <c:y val="0.1385"/>
          <c:w val="0.68975"/>
          <c:h val="0.83775"/>
        </c:manualLayout>
      </c:layout>
      <c:areaChart>
        <c:grouping val="standard"/>
        <c:varyColors val="0"/>
        <c:ser>
          <c:idx val="2"/>
          <c:order val="0"/>
          <c:tx>
            <c:strRef>
              <c:f>Sheet2!$E$13</c:f>
              <c:strCache>
                <c:ptCount val="1"/>
                <c:pt idx="0">
                  <c:v>Average exposure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Sheet2!$E$14:$E$93</c:f>
              <c:numCache>
                <c:ptCount val="80"/>
                <c:pt idx="0">
                  <c:v>92.55</c:v>
                </c:pt>
                <c:pt idx="1">
                  <c:v>92.55</c:v>
                </c:pt>
                <c:pt idx="2">
                  <c:v>92.55</c:v>
                </c:pt>
                <c:pt idx="3">
                  <c:v>92.55</c:v>
                </c:pt>
                <c:pt idx="4">
                  <c:v>92.55</c:v>
                </c:pt>
                <c:pt idx="5">
                  <c:v>92.55</c:v>
                </c:pt>
                <c:pt idx="6">
                  <c:v>92.55</c:v>
                </c:pt>
                <c:pt idx="7">
                  <c:v>92.55</c:v>
                </c:pt>
                <c:pt idx="8">
                  <c:v>92.55</c:v>
                </c:pt>
                <c:pt idx="9">
                  <c:v>92.55</c:v>
                </c:pt>
                <c:pt idx="10">
                  <c:v>92.55</c:v>
                </c:pt>
                <c:pt idx="11">
                  <c:v>92.55</c:v>
                </c:pt>
                <c:pt idx="12">
                  <c:v>92.55</c:v>
                </c:pt>
                <c:pt idx="13">
                  <c:v>92.55</c:v>
                </c:pt>
                <c:pt idx="14">
                  <c:v>92.55</c:v>
                </c:pt>
                <c:pt idx="15">
                  <c:v>92.55</c:v>
                </c:pt>
                <c:pt idx="16">
                  <c:v>92.55</c:v>
                </c:pt>
                <c:pt idx="17">
                  <c:v>92.55</c:v>
                </c:pt>
                <c:pt idx="18">
                  <c:v>92.55</c:v>
                </c:pt>
                <c:pt idx="19">
                  <c:v>92.55</c:v>
                </c:pt>
                <c:pt idx="20">
                  <c:v>92.55</c:v>
                </c:pt>
                <c:pt idx="21">
                  <c:v>92.55</c:v>
                </c:pt>
                <c:pt idx="22">
                  <c:v>92.55</c:v>
                </c:pt>
                <c:pt idx="23">
                  <c:v>92.55</c:v>
                </c:pt>
                <c:pt idx="24">
                  <c:v>92.55</c:v>
                </c:pt>
                <c:pt idx="25">
                  <c:v>92.55</c:v>
                </c:pt>
                <c:pt idx="26">
                  <c:v>92.55</c:v>
                </c:pt>
                <c:pt idx="27">
                  <c:v>92.55</c:v>
                </c:pt>
                <c:pt idx="28">
                  <c:v>92.55</c:v>
                </c:pt>
                <c:pt idx="29">
                  <c:v>92.55</c:v>
                </c:pt>
                <c:pt idx="30">
                  <c:v>92.55</c:v>
                </c:pt>
                <c:pt idx="31">
                  <c:v>92.55</c:v>
                </c:pt>
                <c:pt idx="32">
                  <c:v>92.55</c:v>
                </c:pt>
                <c:pt idx="33">
                  <c:v>92.55</c:v>
                </c:pt>
                <c:pt idx="34">
                  <c:v>92.55</c:v>
                </c:pt>
                <c:pt idx="35">
                  <c:v>92.55</c:v>
                </c:pt>
                <c:pt idx="36">
                  <c:v>92.55</c:v>
                </c:pt>
                <c:pt idx="37">
                  <c:v>92.55</c:v>
                </c:pt>
                <c:pt idx="38">
                  <c:v>92.55</c:v>
                </c:pt>
                <c:pt idx="39">
                  <c:v>92.55</c:v>
                </c:pt>
                <c:pt idx="40">
                  <c:v>92.55</c:v>
                </c:pt>
                <c:pt idx="41">
                  <c:v>92.55</c:v>
                </c:pt>
                <c:pt idx="42">
                  <c:v>92.55</c:v>
                </c:pt>
                <c:pt idx="43">
                  <c:v>92.55</c:v>
                </c:pt>
                <c:pt idx="44">
                  <c:v>92.55</c:v>
                </c:pt>
                <c:pt idx="45">
                  <c:v>92.55</c:v>
                </c:pt>
                <c:pt idx="46">
                  <c:v>92.55</c:v>
                </c:pt>
                <c:pt idx="47">
                  <c:v>92.55</c:v>
                </c:pt>
                <c:pt idx="48">
                  <c:v>92.55</c:v>
                </c:pt>
                <c:pt idx="49">
                  <c:v>92.55</c:v>
                </c:pt>
                <c:pt idx="50">
                  <c:v>92.55</c:v>
                </c:pt>
                <c:pt idx="51">
                  <c:v>92.55</c:v>
                </c:pt>
                <c:pt idx="52">
                  <c:v>92.55</c:v>
                </c:pt>
                <c:pt idx="53">
                  <c:v>92.55</c:v>
                </c:pt>
                <c:pt idx="54">
                  <c:v>92.55</c:v>
                </c:pt>
                <c:pt idx="55">
                  <c:v>92.55</c:v>
                </c:pt>
                <c:pt idx="56">
                  <c:v>92.55</c:v>
                </c:pt>
                <c:pt idx="57">
                  <c:v>92.55</c:v>
                </c:pt>
                <c:pt idx="58">
                  <c:v>92.55</c:v>
                </c:pt>
                <c:pt idx="59">
                  <c:v>92.55</c:v>
                </c:pt>
                <c:pt idx="60">
                  <c:v>92.55</c:v>
                </c:pt>
                <c:pt idx="61">
                  <c:v>92.55</c:v>
                </c:pt>
                <c:pt idx="62">
                  <c:v>92.55</c:v>
                </c:pt>
                <c:pt idx="63">
                  <c:v>92.55</c:v>
                </c:pt>
                <c:pt idx="64">
                  <c:v>92.55</c:v>
                </c:pt>
                <c:pt idx="65">
                  <c:v>92.55</c:v>
                </c:pt>
                <c:pt idx="66">
                  <c:v>92.55</c:v>
                </c:pt>
                <c:pt idx="67">
                  <c:v>92.55</c:v>
                </c:pt>
                <c:pt idx="68">
                  <c:v>92.55</c:v>
                </c:pt>
                <c:pt idx="69">
                  <c:v>92.55</c:v>
                </c:pt>
                <c:pt idx="70">
                  <c:v>92.55</c:v>
                </c:pt>
                <c:pt idx="71">
                  <c:v>92.55</c:v>
                </c:pt>
                <c:pt idx="72">
                  <c:v>92.55</c:v>
                </c:pt>
                <c:pt idx="73">
                  <c:v>92.55</c:v>
                </c:pt>
                <c:pt idx="74">
                  <c:v>92.55</c:v>
                </c:pt>
                <c:pt idx="75">
                  <c:v>92.55</c:v>
                </c:pt>
                <c:pt idx="76">
                  <c:v>92.55</c:v>
                </c:pt>
                <c:pt idx="77">
                  <c:v>92.55</c:v>
                </c:pt>
                <c:pt idx="78">
                  <c:v>92.55</c:v>
                </c:pt>
                <c:pt idx="79">
                  <c:v>92.55</c:v>
                </c:pt>
              </c:numCache>
            </c:numRef>
          </c:val>
        </c:ser>
        <c:ser>
          <c:idx val="0"/>
          <c:order val="1"/>
          <c:tx>
            <c:strRef>
              <c:f>Sheet2!$C$13</c:f>
              <c:strCache>
                <c:ptCount val="1"/>
                <c:pt idx="0">
                  <c:v>8-Hour exposure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Sheet2!$C$14:$C$93</c:f>
              <c:numCache>
                <c:ptCount val="80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96</c:v>
                </c:pt>
                <c:pt idx="29">
                  <c:v>110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89</c:v>
                </c:pt>
                <c:pt idx="44">
                  <c:v>89</c:v>
                </c:pt>
                <c:pt idx="45">
                  <c:v>89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92</c:v>
                </c:pt>
                <c:pt idx="56">
                  <c:v>92</c:v>
                </c:pt>
                <c:pt idx="57">
                  <c:v>92</c:v>
                </c:pt>
                <c:pt idx="58">
                  <c:v>92</c:v>
                </c:pt>
                <c:pt idx="59">
                  <c:v>92</c:v>
                </c:pt>
                <c:pt idx="60">
                  <c:v>92</c:v>
                </c:pt>
                <c:pt idx="61">
                  <c:v>92</c:v>
                </c:pt>
                <c:pt idx="62">
                  <c:v>92</c:v>
                </c:pt>
                <c:pt idx="63">
                  <c:v>92</c:v>
                </c:pt>
                <c:pt idx="64">
                  <c:v>92</c:v>
                </c:pt>
                <c:pt idx="65">
                  <c:v>92</c:v>
                </c:pt>
                <c:pt idx="66">
                  <c:v>92</c:v>
                </c:pt>
                <c:pt idx="67">
                  <c:v>92</c:v>
                </c:pt>
                <c:pt idx="68">
                  <c:v>92</c:v>
                </c:pt>
                <c:pt idx="69">
                  <c:v>92</c:v>
                </c:pt>
                <c:pt idx="70">
                  <c:v>92</c:v>
                </c:pt>
                <c:pt idx="71">
                  <c:v>92</c:v>
                </c:pt>
                <c:pt idx="72">
                  <c:v>92</c:v>
                </c:pt>
                <c:pt idx="73">
                  <c:v>92</c:v>
                </c:pt>
                <c:pt idx="74">
                  <c:v>92</c:v>
                </c:pt>
                <c:pt idx="75">
                  <c:v>92</c:v>
                </c:pt>
                <c:pt idx="76">
                  <c:v>92</c:v>
                </c:pt>
                <c:pt idx="77">
                  <c:v>92</c:v>
                </c:pt>
                <c:pt idx="78">
                  <c:v>92</c:v>
                </c:pt>
                <c:pt idx="79">
                  <c:v>92</c:v>
                </c:pt>
              </c:numCache>
            </c:numRef>
          </c:val>
        </c:ser>
        <c:ser>
          <c:idx val="1"/>
          <c:order val="2"/>
          <c:tx>
            <c:strRef>
              <c:f>Sheet2!$D$13</c:f>
              <c:strCache>
                <c:ptCount val="1"/>
                <c:pt idx="0">
                  <c:v>Hazard limit=85 dB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Sheet2!$D$14:$D$93</c:f>
              <c:numCache>
                <c:ptCount val="8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85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</c:numCache>
            </c:numRef>
          </c:val>
        </c:ser>
        <c:axId val="3354220"/>
        <c:axId val="30187981"/>
      </c:areaChart>
      <c:catAx>
        <c:axId val="33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30187981"/>
        <c:crosses val="autoZero"/>
        <c:auto val="1"/>
        <c:lblOffset val="100"/>
        <c:tickLblSkip val="1"/>
        <c:tickMarkSkip val="10"/>
        <c:noMultiLvlLbl val="0"/>
      </c:catAx>
      <c:valAx>
        <c:axId val="30187981"/>
        <c:scaling>
          <c:orientation val="minMax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3354220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2387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Farmer Noise Exposures in Decibels Over 8 Hours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75"/>
          <c:y val="0.13675"/>
          <c:w val="0.691"/>
          <c:h val="0.84"/>
        </c:manualLayout>
      </c:layout>
      <c:areaChart>
        <c:grouping val="standard"/>
        <c:varyColors val="0"/>
        <c:ser>
          <c:idx val="2"/>
          <c:order val="0"/>
          <c:tx>
            <c:strRef>
              <c:f>Sheet2!$E$13</c:f>
              <c:strCache>
                <c:ptCount val="1"/>
                <c:pt idx="0">
                  <c:v>Average exposure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/>
            </c:strRef>
          </c:cat>
          <c:val>
            <c:numRef>
              <c:f>Sheet2!$E$14:$E$93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Sheet2!$C$13</c:f>
              <c:strCache>
                <c:ptCount val="1"/>
                <c:pt idx="0">
                  <c:v>8-Hour exposure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/>
            </c:strRef>
          </c:cat>
          <c:val>
            <c:numRef>
              <c:f>Sheet2!$C$14:$C$93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1"/>
          <c:order val="2"/>
          <c:tx>
            <c:strRef>
              <c:f>Sheet2!$D$13</c:f>
              <c:strCache>
                <c:ptCount val="1"/>
                <c:pt idx="0">
                  <c:v>Hazard limit=85 dB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/>
            </c:strRef>
          </c:cat>
          <c:val>
            <c:numRef>
              <c:f>Sheet2!$D$14:$D$93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axId val="3256374"/>
        <c:axId val="29307367"/>
      </c:area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9307367"/>
        <c:crosses val="autoZero"/>
        <c:auto val="1"/>
        <c:lblOffset val="100"/>
        <c:tickLblSkip val="1"/>
        <c:tickMarkSkip val="10"/>
        <c:noMultiLvlLbl val="0"/>
      </c:catAx>
      <c:valAx>
        <c:axId val="29307367"/>
        <c:scaling>
          <c:orientation val="minMax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3256374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2622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Pete's Average Noise Exposure</a:t>
            </a:r>
          </a:p>
        </c:rich>
      </c:tx>
      <c:layout>
        <c:manualLayout>
          <c:xMode val="factor"/>
          <c:yMode val="factor"/>
          <c:x val="0.178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38625"/>
          <c:w val="0.4865"/>
          <c:h val="0.39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4PercentageExposure!$B$8:$B$17</c:f>
              <c:strCache>
                <c:ptCount val="10"/>
                <c:pt idx="0">
                  <c:v>Tractor</c:v>
                </c:pt>
                <c:pt idx="1">
                  <c:v>Chain saw</c:v>
                </c:pt>
                <c:pt idx="2">
                  <c:v>Combine</c:v>
                </c:pt>
                <c:pt idx="3">
                  <c:v>Grain dryer</c:v>
                </c:pt>
                <c:pt idx="4">
                  <c:v>Other agricultural</c:v>
                </c:pt>
                <c:pt idx="5">
                  <c:v>Other occupational</c:v>
                </c:pt>
                <c:pt idx="6">
                  <c:v>Hunting &amp; target shooting</c:v>
                </c:pt>
                <c:pt idx="7">
                  <c:v>Motorcycle &amp; snowmobile</c:v>
                </c:pt>
                <c:pt idx="8">
                  <c:v>Rock band</c:v>
                </c:pt>
                <c:pt idx="9">
                  <c:v>Other</c:v>
                </c:pt>
              </c:strCache>
            </c:strRef>
          </c:cat>
          <c:val>
            <c:numRef>
              <c:f>4PercentageExposure!$C$8:$C$17</c:f>
              <c:numCache>
                <c:ptCount val="10"/>
                <c:pt idx="0">
                  <c:v>172.01999999999998</c:v>
                </c:pt>
                <c:pt idx="1">
                  <c:v>10.956</c:v>
                </c:pt>
                <c:pt idx="2">
                  <c:v>33.294</c:v>
                </c:pt>
                <c:pt idx="3">
                  <c:v>42.70199999999999</c:v>
                </c:pt>
                <c:pt idx="4">
                  <c:v>73.128</c:v>
                </c:pt>
                <c:pt idx="5">
                  <c:v>147.90000000000003</c:v>
                </c:pt>
                <c:pt idx="6">
                  <c:v>1.4754</c:v>
                </c:pt>
                <c:pt idx="7">
                  <c:v>15.696000000000002</c:v>
                </c:pt>
                <c:pt idx="8">
                  <c:v>7.260000000000001</c:v>
                </c:pt>
                <c:pt idx="9">
                  <c:v>33.876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Hearing Loss, 93-102 dB Noise Exposure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hearing loss, dB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Sheet1!$D$4:$D$34</c:f>
              <c:numCache>
                <c:ptCount val="31"/>
                <c:pt idx="0">
                  <c:v>17</c:v>
                </c:pt>
                <c:pt idx="2">
                  <c:v>29</c:v>
                </c:pt>
                <c:pt idx="7">
                  <c:v>35</c:v>
                </c:pt>
                <c:pt idx="10">
                  <c:v>43</c:v>
                </c:pt>
                <c:pt idx="14">
                  <c:v>50</c:v>
                </c:pt>
                <c:pt idx="30">
                  <c:v>71</c:v>
                </c:pt>
              </c:numCache>
            </c:numRef>
          </c:cat>
          <c:val>
            <c:numRef>
              <c:f>Sheet1!$E$3:$E$34</c:f>
              <c:numCache>
                <c:ptCount val="32"/>
                <c:pt idx="0">
                  <c:v>5</c:v>
                </c:pt>
                <c:pt idx="1">
                  <c:v>6.666666666666667</c:v>
                </c:pt>
                <c:pt idx="2">
                  <c:v>8.333333333333334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disability, &gt; 25 dB loss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Sheet1!$D$4:$D$34</c:f>
              <c:numCache>
                <c:ptCount val="31"/>
                <c:pt idx="0">
                  <c:v>17</c:v>
                </c:pt>
                <c:pt idx="2">
                  <c:v>29</c:v>
                </c:pt>
                <c:pt idx="7">
                  <c:v>35</c:v>
                </c:pt>
                <c:pt idx="10">
                  <c:v>43</c:v>
                </c:pt>
                <c:pt idx="14">
                  <c:v>50</c:v>
                </c:pt>
                <c:pt idx="30">
                  <c:v>71</c:v>
                </c:pt>
              </c:numCache>
            </c:numRef>
          </c:cat>
          <c:val>
            <c:numRef>
              <c:f>Sheet1!$F$3:$F$34</c:f>
              <c:numCache>
                <c:ptCount val="3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</c:numCache>
            </c:numRef>
          </c:val>
          <c:smooth val="0"/>
        </c:ser>
        <c:axId val="62439712"/>
        <c:axId val="25086497"/>
      </c:lineChart>
      <c:catAx>
        <c:axId val="6243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Range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 (4 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4397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Hearing Loss Effect on Non-fatal Injury Rates, 2003</a:t>
            </a:r>
          </a:p>
        </c:rich>
      </c:tx>
      <c:layout>
        <c:manualLayout>
          <c:xMode val="factor"/>
          <c:yMode val="factor"/>
          <c:x val="0.10725"/>
          <c:y val="-0.02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95"/>
          <c:w val="1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7ColateralInjuries!$A$3</c:f>
              <c:strCache>
                <c:ptCount val="1"/>
                <c:pt idx="0">
                  <c:v>Agriculture</c:v>
                </c:pt>
              </c:strCache>
            </c:strRef>
          </c:cat>
          <c:val>
            <c:numRef>
              <c:f>7ColateralInjuries!$B$3</c:f>
              <c:numCache>
                <c:ptCount val="1"/>
                <c:pt idx="0">
                  <c:v>6.2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7ColateralInjuries!$A$3</c:f>
              <c:strCache>
                <c:ptCount val="1"/>
                <c:pt idx="0">
                  <c:v>Agriculture</c:v>
                </c:pt>
              </c:strCache>
            </c:strRef>
          </c:cat>
          <c:val>
            <c:numRef>
              <c:f>7ColateralInjuries!$C$3</c:f>
              <c:numCache>
                <c:ptCount val="1"/>
                <c:pt idx="0">
                  <c:v>3.906</c:v>
                </c:pt>
              </c:numCache>
            </c:numRef>
          </c:val>
          <c:shape val="box"/>
        </c:ser>
        <c:shape val="box"/>
        <c:axId val="24451882"/>
        <c:axId val="18740347"/>
      </c:bar3DChart>
      <c:cat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Hearing Loss Effect</a:t>
                </a:r>
              </a:p>
            </c:rich>
          </c:tx>
          <c:layout>
            <c:manualLayout>
              <c:xMode val="factor"/>
              <c:yMode val="factor"/>
              <c:x val="-0.13475"/>
              <c:y val="-0.6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Injuries per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18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3366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3366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costs of ear plugs from different sources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8InterventionCost!$A$14:$A$16</c:f>
              <c:strCache>
                <c:ptCount val="3"/>
                <c:pt idx="0">
                  <c:v>Drug store</c:v>
                </c:pt>
                <c:pt idx="1">
                  <c:v>Big box store</c:v>
                </c:pt>
                <c:pt idx="2">
                  <c:v>Internet</c:v>
                </c:pt>
              </c:strCache>
            </c:strRef>
          </c:cat>
          <c:val>
            <c:numRef>
              <c:f>8InterventionCost!$B$14:$B$16</c:f>
              <c:numCache>
                <c:ptCount val="3"/>
                <c:pt idx="0">
                  <c:v>50</c:v>
                </c:pt>
                <c:pt idx="1">
                  <c:v>30</c:v>
                </c:pt>
                <c:pt idx="2">
                  <c:v>14.000000000000002</c:v>
                </c:pt>
              </c:numCache>
            </c:numRef>
          </c:val>
          <c:shape val="box"/>
        </c:ser>
        <c:shape val="box"/>
        <c:axId val="34445396"/>
        <c:axId val="41573109"/>
      </c:bar3D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44453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6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5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Relationship Id="rId9" Type="http://schemas.openxmlformats.org/officeDocument/2006/relationships/image" Target="../media/image4.emf" /><Relationship Id="rId10" Type="http://schemas.openxmlformats.org/officeDocument/2006/relationships/image" Target="../media/image14.emf" /><Relationship Id="rId11" Type="http://schemas.openxmlformats.org/officeDocument/2006/relationships/image" Target="../media/image19.emf" /><Relationship Id="rId12" Type="http://schemas.openxmlformats.org/officeDocument/2006/relationships/image" Target="../media/image10.emf" /><Relationship Id="rId13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57150</xdr:rowOff>
    </xdr:from>
    <xdr:to>
      <xdr:col>11</xdr:col>
      <xdr:colOff>0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0" y="3743325"/>
        <a:ext cx="5514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219075</xdr:colOff>
      <xdr:row>0</xdr:row>
      <xdr:rowOff>9525</xdr:rowOff>
    </xdr:from>
    <xdr:to>
      <xdr:col>9</xdr:col>
      <xdr:colOff>0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9525"/>
          <a:ext cx="1428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85725</xdr:rowOff>
    </xdr:from>
    <xdr:to>
      <xdr:col>10</xdr:col>
      <xdr:colOff>523875</xdr:colOff>
      <xdr:row>18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71525"/>
          <a:ext cx="26193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66675</xdr:rowOff>
    </xdr:from>
    <xdr:to>
      <xdr:col>9</xdr:col>
      <xdr:colOff>571500</xdr:colOff>
      <xdr:row>31</xdr:row>
      <xdr:rowOff>66675</xdr:rowOff>
    </xdr:to>
    <xdr:graphicFrame>
      <xdr:nvGraphicFramePr>
        <xdr:cNvPr id="1" name="Chart 18"/>
        <xdr:cNvGraphicFramePr/>
      </xdr:nvGraphicFramePr>
      <xdr:xfrm>
        <a:off x="9525" y="1733550"/>
        <a:ext cx="56673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5</xdr:col>
      <xdr:colOff>762000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0" y="1285875"/>
        <a:ext cx="5762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5</xdr:col>
      <xdr:colOff>0</xdr:colOff>
      <xdr:row>35</xdr:row>
      <xdr:rowOff>47625</xdr:rowOff>
    </xdr:to>
    <xdr:graphicFrame>
      <xdr:nvGraphicFramePr>
        <xdr:cNvPr id="1" name="Chart 8"/>
        <xdr:cNvGraphicFramePr/>
      </xdr:nvGraphicFramePr>
      <xdr:xfrm>
        <a:off x="0" y="1257300"/>
        <a:ext cx="60388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133350</xdr:rowOff>
    </xdr:from>
    <xdr:to>
      <xdr:col>4</xdr:col>
      <xdr:colOff>1228725</xdr:colOff>
      <xdr:row>40</xdr:row>
      <xdr:rowOff>28575</xdr:rowOff>
    </xdr:to>
    <xdr:graphicFrame>
      <xdr:nvGraphicFramePr>
        <xdr:cNvPr id="1" name="Chart 12"/>
        <xdr:cNvGraphicFramePr/>
      </xdr:nvGraphicFramePr>
      <xdr:xfrm>
        <a:off x="19050" y="2476500"/>
        <a:ext cx="5762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3</xdr:row>
      <xdr:rowOff>9525</xdr:rowOff>
    </xdr:from>
    <xdr:to>
      <xdr:col>19</xdr:col>
      <xdr:colOff>685800</xdr:colOff>
      <xdr:row>25</xdr:row>
      <xdr:rowOff>180975</xdr:rowOff>
    </xdr:to>
    <xdr:graphicFrame>
      <xdr:nvGraphicFramePr>
        <xdr:cNvPr id="1" name="Chart 19"/>
        <xdr:cNvGraphicFramePr/>
      </xdr:nvGraphicFramePr>
      <xdr:xfrm>
        <a:off x="6105525" y="609600"/>
        <a:ext cx="54006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7</xdr:col>
      <xdr:colOff>571500</xdr:colOff>
      <xdr:row>38</xdr:row>
      <xdr:rowOff>0</xdr:rowOff>
    </xdr:to>
    <xdr:graphicFrame>
      <xdr:nvGraphicFramePr>
        <xdr:cNvPr id="1" name="Chart 10"/>
        <xdr:cNvGraphicFramePr/>
      </xdr:nvGraphicFramePr>
      <xdr:xfrm>
        <a:off x="0" y="3257550"/>
        <a:ext cx="56864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7</xdr:col>
      <xdr:colOff>514350</xdr:colOff>
      <xdr:row>47</xdr:row>
      <xdr:rowOff>9525</xdr:rowOff>
    </xdr:to>
    <xdr:graphicFrame>
      <xdr:nvGraphicFramePr>
        <xdr:cNvPr id="1" name="Chart 6"/>
        <xdr:cNvGraphicFramePr/>
      </xdr:nvGraphicFramePr>
      <xdr:xfrm>
        <a:off x="0" y="3943350"/>
        <a:ext cx="5410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114300</xdr:rowOff>
    </xdr:from>
    <xdr:to>
      <xdr:col>7</xdr:col>
      <xdr:colOff>295275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0" y="4105275"/>
        <a:ext cx="5667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581025</xdr:colOff>
      <xdr:row>15</xdr:row>
      <xdr:rowOff>152400</xdr:rowOff>
    </xdr:to>
    <xdr:graphicFrame>
      <xdr:nvGraphicFramePr>
        <xdr:cNvPr id="1" name="Chart 13"/>
        <xdr:cNvGraphicFramePr/>
      </xdr:nvGraphicFramePr>
      <xdr:xfrm>
        <a:off x="0" y="485775"/>
        <a:ext cx="5153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1</xdr:row>
      <xdr:rowOff>19050</xdr:rowOff>
    </xdr:from>
    <xdr:to>
      <xdr:col>7</xdr:col>
      <xdr:colOff>590550</xdr:colOff>
      <xdr:row>2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80975"/>
          <a:ext cx="2752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38100</xdr:rowOff>
    </xdr:from>
    <xdr:to>
      <xdr:col>7</xdr:col>
      <xdr:colOff>542925</xdr:colOff>
      <xdr:row>32</xdr:row>
      <xdr:rowOff>0</xdr:rowOff>
    </xdr:to>
    <xdr:graphicFrame>
      <xdr:nvGraphicFramePr>
        <xdr:cNvPr id="1" name="Chart 6"/>
        <xdr:cNvGraphicFramePr/>
      </xdr:nvGraphicFramePr>
      <xdr:xfrm>
        <a:off x="9525" y="240030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133350</xdr:rowOff>
    </xdr:from>
    <xdr:to>
      <xdr:col>8</xdr:col>
      <xdr:colOff>581025</xdr:colOff>
      <xdr:row>43</xdr:row>
      <xdr:rowOff>104775</xdr:rowOff>
    </xdr:to>
    <xdr:graphicFrame>
      <xdr:nvGraphicFramePr>
        <xdr:cNvPr id="1" name="Chart 5"/>
        <xdr:cNvGraphicFramePr/>
      </xdr:nvGraphicFramePr>
      <xdr:xfrm>
        <a:off x="9525" y="3448050"/>
        <a:ext cx="5829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371475</xdr:colOff>
      <xdr:row>29</xdr:row>
      <xdr:rowOff>47625</xdr:rowOff>
    </xdr:from>
    <xdr:ext cx="1057275" cy="361950"/>
    <xdr:sp>
      <xdr:nvSpPr>
        <xdr:cNvPr id="2" name="TextBox 6"/>
        <xdr:cNvSpPr txBox="1">
          <a:spLocks noChangeArrowheads="1"/>
        </xdr:cNvSpPr>
      </xdr:nvSpPr>
      <xdr:spPr>
        <a:xfrm>
          <a:off x="4171950" y="5305425"/>
          <a:ext cx="1057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Average exposure 
is 93 decibels.</a:t>
          </a:r>
        </a:p>
      </xdr:txBody>
    </xdr:sp>
    <xdr:clientData/>
  </xdr:oneCellAnchor>
  <xdr:twoCellAnchor editAs="oneCell">
    <xdr:from>
      <xdr:col>5</xdr:col>
      <xdr:colOff>285750</xdr:colOff>
      <xdr:row>3</xdr:row>
      <xdr:rowOff>38100</xdr:rowOff>
    </xdr:from>
    <xdr:to>
      <xdr:col>7</xdr:col>
      <xdr:colOff>371475</xdr:colOff>
      <xdr:row>13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81025"/>
          <a:ext cx="15430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66675</xdr:rowOff>
    </xdr:from>
    <xdr:to>
      <xdr:col>7</xdr:col>
      <xdr:colOff>485775</xdr:colOff>
      <xdr:row>45</xdr:row>
      <xdr:rowOff>114300</xdr:rowOff>
    </xdr:to>
    <xdr:graphicFrame>
      <xdr:nvGraphicFramePr>
        <xdr:cNvPr id="1" name="Chart 3"/>
        <xdr:cNvGraphicFramePr/>
      </xdr:nvGraphicFramePr>
      <xdr:xfrm>
        <a:off x="9525" y="2847975"/>
        <a:ext cx="5638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7</xdr:col>
      <xdr:colOff>581025</xdr:colOff>
      <xdr:row>32</xdr:row>
      <xdr:rowOff>133350</xdr:rowOff>
    </xdr:to>
    <xdr:graphicFrame>
      <xdr:nvGraphicFramePr>
        <xdr:cNvPr id="1" name="Chart 2"/>
        <xdr:cNvGraphicFramePr/>
      </xdr:nvGraphicFramePr>
      <xdr:xfrm>
        <a:off x="0" y="2238375"/>
        <a:ext cx="5924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381000</xdr:colOff>
      <xdr:row>8</xdr:row>
      <xdr:rowOff>9525</xdr:rowOff>
    </xdr:from>
    <xdr:to>
      <xdr:col>7</xdr:col>
      <xdr:colOff>323850</xdr:colOff>
      <xdr:row>20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81125"/>
          <a:ext cx="238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600075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0" y="352425"/>
        <a:ext cx="54768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10</xdr:col>
      <xdr:colOff>95250</xdr:colOff>
      <xdr:row>28</xdr:row>
      <xdr:rowOff>0</xdr:rowOff>
    </xdr:to>
    <xdr:graphicFrame>
      <xdr:nvGraphicFramePr>
        <xdr:cNvPr id="1" name="Chart 14"/>
        <xdr:cNvGraphicFramePr/>
      </xdr:nvGraphicFramePr>
      <xdr:xfrm>
        <a:off x="257175" y="371475"/>
        <a:ext cx="57626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104775</xdr:rowOff>
    </xdr:from>
    <xdr:to>
      <xdr:col>9</xdr:col>
      <xdr:colOff>295275</xdr:colOff>
      <xdr:row>35</xdr:row>
      <xdr:rowOff>85725</xdr:rowOff>
    </xdr:to>
    <xdr:graphicFrame>
      <xdr:nvGraphicFramePr>
        <xdr:cNvPr id="1" name="Chart 3"/>
        <xdr:cNvGraphicFramePr/>
      </xdr:nvGraphicFramePr>
      <xdr:xfrm>
        <a:off x="0" y="1266825"/>
        <a:ext cx="5686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</xdr:row>
      <xdr:rowOff>76200</xdr:rowOff>
    </xdr:from>
    <xdr:to>
      <xdr:col>3</xdr:col>
      <xdr:colOff>419100</xdr:colOff>
      <xdr:row>15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0"/>
          <a:ext cx="2247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381000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686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123825</xdr:rowOff>
    </xdr:from>
    <xdr:to>
      <xdr:col>6</xdr:col>
      <xdr:colOff>0</xdr:colOff>
      <xdr:row>11</xdr:row>
      <xdr:rowOff>19050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68592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180975</xdr:rowOff>
    </xdr:from>
    <xdr:to>
      <xdr:col>6</xdr:col>
      <xdr:colOff>0</xdr:colOff>
      <xdr:row>12</xdr:row>
      <xdr:rowOff>19050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9050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0</xdr:colOff>
      <xdr:row>13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2105025"/>
          <a:ext cx="1219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0</xdr:rowOff>
    </xdr:from>
    <xdr:to>
      <xdr:col>6</xdr:col>
      <xdr:colOff>0</xdr:colOff>
      <xdr:row>14</xdr:row>
      <xdr:rowOff>9525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2295525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9525</xdr:rowOff>
    </xdr:from>
    <xdr:to>
      <xdr:col>5</xdr:col>
      <xdr:colOff>600075</xdr:colOff>
      <xdr:row>15</xdr:row>
      <xdr:rowOff>9525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7425" y="249555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180975</xdr:rowOff>
    </xdr:from>
    <xdr:to>
      <xdr:col>5</xdr:col>
      <xdr:colOff>600075</xdr:colOff>
      <xdr:row>16</xdr:row>
      <xdr:rowOff>9525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57425" y="266700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171450</xdr:rowOff>
    </xdr:from>
    <xdr:to>
      <xdr:col>6</xdr:col>
      <xdr:colOff>0</xdr:colOff>
      <xdr:row>17</xdr:row>
      <xdr:rowOff>19050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66950" y="28479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180975</xdr:rowOff>
    </xdr:from>
    <xdr:to>
      <xdr:col>6</xdr:col>
      <xdr:colOff>0</xdr:colOff>
      <xdr:row>21</xdr:row>
      <xdr:rowOff>28575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66950" y="359092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180975</xdr:rowOff>
    </xdr:from>
    <xdr:to>
      <xdr:col>6</xdr:col>
      <xdr:colOff>0</xdr:colOff>
      <xdr:row>21</xdr:row>
      <xdr:rowOff>28575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359092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9525</xdr:rowOff>
    </xdr:from>
    <xdr:to>
      <xdr:col>5</xdr:col>
      <xdr:colOff>600075</xdr:colOff>
      <xdr:row>22</xdr:row>
      <xdr:rowOff>47625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57425" y="38004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9525</xdr:rowOff>
    </xdr:from>
    <xdr:to>
      <xdr:col>6</xdr:col>
      <xdr:colOff>0</xdr:colOff>
      <xdr:row>20</xdr:row>
      <xdr:rowOff>47625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66950" y="34194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142875</xdr:rowOff>
    </xdr:from>
    <xdr:to>
      <xdr:col>6</xdr:col>
      <xdr:colOff>123825</xdr:colOff>
      <xdr:row>36</xdr:row>
      <xdr:rowOff>123825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124325"/>
          <a:ext cx="36004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142875</xdr:rowOff>
    </xdr:from>
    <xdr:to>
      <xdr:col>10</xdr:col>
      <xdr:colOff>504825</xdr:colOff>
      <xdr:row>32</xdr:row>
      <xdr:rowOff>85725</xdr:rowOff>
    </xdr:to>
    <xdr:graphicFrame>
      <xdr:nvGraphicFramePr>
        <xdr:cNvPr id="1" name="Chart 8"/>
        <xdr:cNvGraphicFramePr/>
      </xdr:nvGraphicFramePr>
      <xdr:xfrm>
        <a:off x="28575" y="1304925"/>
        <a:ext cx="59055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57150</xdr:rowOff>
    </xdr:from>
    <xdr:to>
      <xdr:col>7</xdr:col>
      <xdr:colOff>9525</xdr:colOff>
      <xdr:row>2</xdr:row>
      <xdr:rowOff>180975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47650"/>
          <a:ext cx="3590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11</xdr:row>
      <xdr:rowOff>95250</xdr:rowOff>
    </xdr:from>
    <xdr:to>
      <xdr:col>2</xdr:col>
      <xdr:colOff>428625</xdr:colOff>
      <xdr:row>21</xdr:row>
      <xdr:rowOff>19050</xdr:rowOff>
    </xdr:to>
    <xdr:sp>
      <xdr:nvSpPr>
        <xdr:cNvPr id="3" name="AutoShape 11"/>
        <xdr:cNvSpPr>
          <a:spLocks/>
        </xdr:cNvSpPr>
      </xdr:nvSpPr>
      <xdr:spPr>
        <a:xfrm>
          <a:off x="1219200" y="2066925"/>
          <a:ext cx="238125" cy="154305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11</xdr:row>
      <xdr:rowOff>104775</xdr:rowOff>
    </xdr:from>
    <xdr:ext cx="971550" cy="361950"/>
    <xdr:sp>
      <xdr:nvSpPr>
        <xdr:cNvPr id="4" name="TextBox 12"/>
        <xdr:cNvSpPr txBox="1">
          <a:spLocks noChangeArrowheads="1"/>
        </xdr:cNvSpPr>
      </xdr:nvSpPr>
      <xdr:spPr>
        <a:xfrm>
          <a:off x="1514475" y="20764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100% Hearing
 Loss Disability</a:t>
          </a:r>
        </a:p>
      </xdr:txBody>
    </xdr:sp>
    <xdr:clientData/>
  </xdr:oneCellAnchor>
  <xdr:twoCellAnchor>
    <xdr:from>
      <xdr:col>1</xdr:col>
      <xdr:colOff>295275</xdr:colOff>
      <xdr:row>11</xdr:row>
      <xdr:rowOff>104775</xdr:rowOff>
    </xdr:from>
    <xdr:to>
      <xdr:col>10</xdr:col>
      <xdr:colOff>514350</xdr:colOff>
      <xdr:row>11</xdr:row>
      <xdr:rowOff>114300</xdr:rowOff>
    </xdr:to>
    <xdr:sp>
      <xdr:nvSpPr>
        <xdr:cNvPr id="5" name="Line 15"/>
        <xdr:cNvSpPr>
          <a:spLocks/>
        </xdr:cNvSpPr>
      </xdr:nvSpPr>
      <xdr:spPr>
        <a:xfrm>
          <a:off x="809625" y="2076450"/>
          <a:ext cx="5133975" cy="95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419100</xdr:colOff>
      <xdr:row>19</xdr:row>
      <xdr:rowOff>142875</xdr:rowOff>
    </xdr:from>
    <xdr:ext cx="238125" cy="200025"/>
    <xdr:sp>
      <xdr:nvSpPr>
        <xdr:cNvPr id="6" name="TextBox 16"/>
        <xdr:cNvSpPr txBox="1">
          <a:spLocks noChangeArrowheads="1"/>
        </xdr:cNvSpPr>
      </xdr:nvSpPr>
      <xdr:spPr>
        <a:xfrm>
          <a:off x="1447800" y="34099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7</xdr:col>
      <xdr:colOff>581025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0" y="1362075"/>
        <a:ext cx="5600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21</xdr:row>
      <xdr:rowOff>9525</xdr:rowOff>
    </xdr:from>
    <xdr:to>
      <xdr:col>3</xdr:col>
      <xdr:colOff>247650</xdr:colOff>
      <xdr:row>25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2571750" y="2590800"/>
          <a:ext cx="219075" cy="71437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25</xdr:row>
      <xdr:rowOff>85725</xdr:rowOff>
    </xdr:from>
    <xdr:to>
      <xdr:col>3</xdr:col>
      <xdr:colOff>266700</xdr:colOff>
      <xdr:row>25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1790700" y="3314700"/>
          <a:ext cx="1019175" cy="95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home.htm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home.htm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iosh/topics/noise/abouthlp/noisemeter_flash/soundMeter_flash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9"/>
  <sheetViews>
    <sheetView tabSelected="1" workbookViewId="0" topLeftCell="A1">
      <selection activeCell="K2" sqref="K2"/>
    </sheetView>
  </sheetViews>
  <sheetFormatPr defaultColWidth="9.140625" defaultRowHeight="12.75"/>
  <cols>
    <col min="1" max="1" width="2.7109375" style="0" customWidth="1"/>
    <col min="2" max="2" width="26.7109375" style="0" customWidth="1"/>
    <col min="3" max="3" width="10.140625" style="0" bestFit="1" customWidth="1"/>
    <col min="4" max="4" width="4.7109375" style="0" customWidth="1"/>
    <col min="5" max="5" width="9.28125" style="0" hidden="1" customWidth="1"/>
    <col min="6" max="7" width="0" style="0" hidden="1" customWidth="1"/>
    <col min="9" max="9" width="10.8515625" style="0" bestFit="1" customWidth="1"/>
    <col min="10" max="10" width="9.28125" style="0" bestFit="1" customWidth="1"/>
  </cols>
  <sheetData>
    <row r="1" spans="1:11" ht="15" customHeight="1">
      <c r="A1" s="216" t="s">
        <v>123</v>
      </c>
      <c r="B1" s="216"/>
      <c r="C1" s="216"/>
      <c r="E1" s="4"/>
      <c r="F1" s="4"/>
      <c r="G1" s="4"/>
      <c r="H1" s="4"/>
      <c r="I1" s="4"/>
      <c r="J1" s="4"/>
      <c r="K1" s="4"/>
    </row>
    <row r="2" spans="1:11" ht="12.75" customHeight="1" thickBot="1">
      <c r="A2" s="4"/>
      <c r="B2" s="4"/>
      <c r="C2" s="4"/>
      <c r="D2" s="4" t="s">
        <v>133</v>
      </c>
      <c r="E2" s="4"/>
      <c r="F2" s="4"/>
      <c r="G2" s="4"/>
      <c r="H2" s="4"/>
      <c r="I2" s="4"/>
      <c r="J2" s="4"/>
      <c r="K2" s="4"/>
    </row>
    <row r="3" spans="1:11" ht="12.75">
      <c r="A3" s="4"/>
      <c r="B3" s="19" t="s">
        <v>78</v>
      </c>
      <c r="C3" s="19" t="s">
        <v>79</v>
      </c>
      <c r="D3" s="4"/>
      <c r="E3" s="341" t="s">
        <v>68</v>
      </c>
      <c r="F3" s="341"/>
      <c r="G3" s="4"/>
      <c r="H3" s="343" t="str">
        <f>IF(J29=TRUE,"She was dead!","She was alive!")</f>
        <v>She was dead!</v>
      </c>
      <c r="I3" s="344"/>
      <c r="J3" s="345"/>
      <c r="K3" s="4"/>
    </row>
    <row r="4" spans="1:11" ht="13.5" thickBot="1">
      <c r="A4" s="4" t="s">
        <v>50</v>
      </c>
      <c r="B4" s="4"/>
      <c r="C4" s="4"/>
      <c r="D4" s="4"/>
      <c r="E4" s="4" t="s">
        <v>59</v>
      </c>
      <c r="F4" s="4" t="s">
        <v>60</v>
      </c>
      <c r="G4" s="4" t="s">
        <v>58</v>
      </c>
      <c r="H4" s="346"/>
      <c r="I4" s="347"/>
      <c r="J4" s="348"/>
      <c r="K4" s="4"/>
    </row>
    <row r="5" spans="1:11" ht="12.75">
      <c r="A5" s="4"/>
      <c r="B5" s="226" t="s">
        <v>200</v>
      </c>
      <c r="C5" s="58">
        <f>IF(J29=TRUE,3000,9200)</f>
        <v>3000</v>
      </c>
      <c r="D5" s="4"/>
      <c r="E5" s="218">
        <v>7200</v>
      </c>
      <c r="F5" s="219">
        <v>1</v>
      </c>
      <c r="G5" s="4" t="s">
        <v>81</v>
      </c>
      <c r="H5" s="56"/>
      <c r="I5" s="4"/>
      <c r="J5" s="4"/>
      <c r="K5" s="4"/>
    </row>
    <row r="6" spans="1:11" ht="12.75">
      <c r="A6" s="4"/>
      <c r="B6" s="227" t="str">
        <f>IF(J29=TRUE,"Coroner","Hospital")</f>
        <v>Coroner</v>
      </c>
      <c r="C6" s="58">
        <f>IF(J29=TRUE,300,260000)</f>
        <v>300</v>
      </c>
      <c r="D6" s="4"/>
      <c r="E6" s="218">
        <v>260000</v>
      </c>
      <c r="F6" s="219">
        <v>1</v>
      </c>
      <c r="G6" s="4" t="s">
        <v>80</v>
      </c>
      <c r="H6" s="56"/>
      <c r="I6" s="4"/>
      <c r="J6" s="4"/>
      <c r="K6" s="4"/>
    </row>
    <row r="7" spans="1:11" ht="12.75">
      <c r="A7" s="4"/>
      <c r="B7" s="243" t="str">
        <f>IF(J29=TRUE,"Funeral service","Physician care")</f>
        <v>Funeral service</v>
      </c>
      <c r="C7" s="58">
        <f>IF(J29=TRUE,12000,50000)</f>
        <v>12000</v>
      </c>
      <c r="D7" s="4"/>
      <c r="E7" s="218">
        <v>50000</v>
      </c>
      <c r="F7" s="219">
        <v>1</v>
      </c>
      <c r="G7" s="4"/>
      <c r="H7" s="56"/>
      <c r="I7" s="4"/>
      <c r="J7" s="4"/>
      <c r="K7" s="4"/>
    </row>
    <row r="8" spans="1:11" ht="12.75">
      <c r="A8" s="4"/>
      <c r="B8" s="228" t="str">
        <f>IF(J29=TRUE,"Cemetary expense","Care in later years")</f>
        <v>Cemetary expense</v>
      </c>
      <c r="C8" s="58">
        <f>IF(J29=TRUE,6000,236000)</f>
        <v>6000</v>
      </c>
      <c r="D8" s="4"/>
      <c r="E8" s="218">
        <v>236000</v>
      </c>
      <c r="F8" s="219">
        <v>1</v>
      </c>
      <c r="G8" s="4" t="s">
        <v>91</v>
      </c>
      <c r="H8" s="56"/>
      <c r="I8" s="4"/>
      <c r="J8" s="4"/>
      <c r="K8" s="4"/>
    </row>
    <row r="9" spans="1:11" ht="12.75">
      <c r="A9" s="4"/>
      <c r="B9" s="229" t="str">
        <f>IF(J29=TRUE,"Grave marker","Rehabilation care")</f>
        <v>Grave marker</v>
      </c>
      <c r="C9" s="58">
        <f>IF(J29=TRUE,2500,254000)</f>
        <v>2500</v>
      </c>
      <c r="D9" s="4"/>
      <c r="E9" s="218">
        <v>54000</v>
      </c>
      <c r="F9" s="219">
        <v>1</v>
      </c>
      <c r="G9" s="4" t="s">
        <v>91</v>
      </c>
      <c r="H9" s="56"/>
      <c r="I9" s="4"/>
      <c r="J9" s="4"/>
      <c r="K9" s="4"/>
    </row>
    <row r="10" spans="1:11" ht="12.75">
      <c r="A10" s="4"/>
      <c r="B10" s="129" t="s">
        <v>135</v>
      </c>
      <c r="C10" s="121">
        <f>SUM(C5:C9)</f>
        <v>23800</v>
      </c>
      <c r="D10" s="4"/>
      <c r="E10" s="4"/>
      <c r="F10" s="4"/>
      <c r="G10" s="4"/>
      <c r="H10" s="56"/>
      <c r="I10" s="4"/>
      <c r="J10" s="4"/>
      <c r="K10" s="4"/>
    </row>
    <row r="11" spans="1:11" ht="12.75">
      <c r="A11" s="245" t="s">
        <v>134</v>
      </c>
      <c r="B11" s="246"/>
      <c r="C11" s="121"/>
      <c r="D11" s="4"/>
      <c r="E11" s="4"/>
      <c r="F11" s="4"/>
      <c r="G11" s="4"/>
      <c r="H11" s="56"/>
      <c r="I11" s="4"/>
      <c r="J11" s="4"/>
      <c r="K11" s="4"/>
    </row>
    <row r="12" spans="1:11" ht="12.75">
      <c r="A12" s="4"/>
      <c r="B12" s="4" t="s">
        <v>292</v>
      </c>
      <c r="C12" s="58">
        <f>IF(J29=TRUE,2200000,500000)</f>
        <v>2200000</v>
      </c>
      <c r="D12" s="15"/>
      <c r="E12" s="4"/>
      <c r="F12" s="4"/>
      <c r="G12" s="4"/>
      <c r="H12" s="56"/>
      <c r="I12" s="4"/>
      <c r="J12" s="4"/>
      <c r="K12" s="4"/>
    </row>
    <row r="13" spans="1:11" ht="12.75">
      <c r="A13" s="4"/>
      <c r="B13" s="4" t="s">
        <v>267</v>
      </c>
      <c r="C13" s="58">
        <v>6500</v>
      </c>
      <c r="D13" s="15"/>
      <c r="E13" s="4"/>
      <c r="F13" s="4"/>
      <c r="G13" s="4"/>
      <c r="H13" s="56"/>
      <c r="I13" s="4"/>
      <c r="J13" s="4"/>
      <c r="K13" s="4"/>
    </row>
    <row r="14" spans="1:11" ht="12.75">
      <c r="A14" s="4"/>
      <c r="B14" s="4" t="str">
        <f>IF(J29=TRUE,"Pete's depression treatment","Parent's lost time")</f>
        <v>Pete's depression treatment</v>
      </c>
      <c r="C14" s="58">
        <f>IF(J29=TRUE,45000,22000)</f>
        <v>45000</v>
      </c>
      <c r="D14" s="4"/>
      <c r="E14" s="218">
        <v>40</v>
      </c>
      <c r="F14" s="219">
        <v>300</v>
      </c>
      <c r="G14" s="4" t="s">
        <v>82</v>
      </c>
      <c r="H14" s="56"/>
      <c r="I14" s="4"/>
      <c r="J14" s="4"/>
      <c r="K14" s="4"/>
    </row>
    <row r="15" spans="1:11" ht="12.75">
      <c r="A15" s="4"/>
      <c r="B15" s="4" t="str">
        <f>IF(J29=TRUE,"Family counceling","Family travel &amp; meal cost")</f>
        <v>Family counceling</v>
      </c>
      <c r="C15" s="58">
        <f>IF(J29=TRUE,30000,18380)</f>
        <v>30000</v>
      </c>
      <c r="D15" s="4"/>
      <c r="E15" s="218">
        <v>40</v>
      </c>
      <c r="F15" s="219">
        <v>500</v>
      </c>
      <c r="G15" s="4" t="s">
        <v>80</v>
      </c>
      <c r="H15" s="56"/>
      <c r="I15" s="4"/>
      <c r="J15" s="4"/>
      <c r="K15" s="4"/>
    </row>
    <row r="16" spans="1:11" ht="12.75">
      <c r="A16" s="4"/>
      <c r="B16" s="4" t="str">
        <f>IF(J29=TRUE,"Legal fees","Extra hired labor")</f>
        <v>Legal fees</v>
      </c>
      <c r="C16" s="58">
        <f>IF(J29=TRUE,10000,15000)</f>
        <v>10000</v>
      </c>
      <c r="D16" s="4"/>
      <c r="E16" s="218">
        <v>15</v>
      </c>
      <c r="F16" s="219">
        <v>1000</v>
      </c>
      <c r="G16" s="4"/>
      <c r="H16" s="56"/>
      <c r="I16" s="4"/>
      <c r="J16" s="4"/>
      <c r="K16" s="4"/>
    </row>
    <row r="17" spans="1:11" ht="12.75">
      <c r="A17" s="4"/>
      <c r="B17" s="4" t="str">
        <f>IF(J29=TRUE,"Family grieving time","Ellen's school accommodations")</f>
        <v>Family grieving time</v>
      </c>
      <c r="C17" s="60">
        <f>IF(J29=TRUE,30000,200000)</f>
        <v>30000</v>
      </c>
      <c r="D17" s="4"/>
      <c r="E17" s="218">
        <v>20000</v>
      </c>
      <c r="F17" s="219">
        <v>1</v>
      </c>
      <c r="G17" s="4" t="s">
        <v>92</v>
      </c>
      <c r="H17" s="56"/>
      <c r="I17" s="4"/>
      <c r="J17" s="4"/>
      <c r="K17" s="4"/>
    </row>
    <row r="18" spans="1:11" ht="12.75">
      <c r="A18" s="4"/>
      <c r="B18" s="129" t="s">
        <v>135</v>
      </c>
      <c r="C18" s="121">
        <f>SUM(C12:C17)</f>
        <v>2321500</v>
      </c>
      <c r="D18" s="4"/>
      <c r="E18" s="4"/>
      <c r="F18" s="4"/>
      <c r="G18" s="4"/>
      <c r="H18" s="56"/>
      <c r="I18" s="4"/>
      <c r="J18" s="4"/>
      <c r="K18" s="4"/>
    </row>
    <row r="19" spans="1:11" ht="12.75">
      <c r="A19" s="4"/>
      <c r="B19" s="16"/>
      <c r="C19" s="16"/>
      <c r="D19" s="4"/>
      <c r="E19" s="4"/>
      <c r="F19" s="4"/>
      <c r="G19" s="4"/>
      <c r="H19" s="56"/>
      <c r="I19" s="4"/>
      <c r="J19" s="4"/>
      <c r="K19" s="4"/>
    </row>
    <row r="20" spans="1:11" ht="15.75" customHeight="1">
      <c r="A20" s="349" t="s">
        <v>264</v>
      </c>
      <c r="B20" s="349"/>
      <c r="C20" s="349"/>
      <c r="D20" s="349"/>
      <c r="E20" s="349"/>
      <c r="F20" s="349"/>
      <c r="G20" s="349"/>
      <c r="H20" s="349"/>
      <c r="I20" s="349"/>
      <c r="J20" s="4"/>
      <c r="K20" s="4"/>
    </row>
    <row r="21" spans="1:11" ht="16.5" thickBot="1">
      <c r="A21" s="4"/>
      <c r="B21" s="15"/>
      <c r="C21" s="342">
        <f>C10+C18</f>
        <v>2345300</v>
      </c>
      <c r="D21" s="342"/>
      <c r="E21" s="58"/>
      <c r="F21" s="15"/>
      <c r="G21" s="15"/>
      <c r="H21" s="244" t="str">
        <f>IF((C10+C18)=C21,"Correct!","Try again")</f>
        <v>Correct!</v>
      </c>
      <c r="I21" s="4"/>
      <c r="J21" s="4"/>
      <c r="K21" s="4"/>
    </row>
    <row r="22" spans="1:11" ht="12.75">
      <c r="A22" s="4"/>
      <c r="B22" s="138"/>
      <c r="C22" s="316"/>
      <c r="D22" s="138"/>
      <c r="E22" s="316"/>
      <c r="F22" s="138"/>
      <c r="G22" s="138"/>
      <c r="H22" s="138"/>
      <c r="I22" s="137"/>
      <c r="J22" s="137"/>
      <c r="K22" s="4"/>
    </row>
    <row r="23" spans="1:11" ht="12.75">
      <c r="A23" s="4"/>
      <c r="B23" s="138"/>
      <c r="C23" s="316"/>
      <c r="D23" s="138"/>
      <c r="E23" s="316"/>
      <c r="F23" s="138"/>
      <c r="G23" s="138"/>
      <c r="H23" s="138"/>
      <c r="I23" s="137"/>
      <c r="J23" s="137"/>
      <c r="K23" s="4"/>
    </row>
    <row r="24" spans="1:11" ht="12.75">
      <c r="A24" s="4"/>
      <c r="B24" s="138"/>
      <c r="C24" s="316"/>
      <c r="D24" s="138"/>
      <c r="E24" s="316"/>
      <c r="F24" s="138"/>
      <c r="G24" s="138"/>
      <c r="H24" s="138"/>
      <c r="I24" s="137"/>
      <c r="J24" s="137"/>
      <c r="K24" s="4"/>
    </row>
    <row r="25" spans="1:11" ht="12.75">
      <c r="A25" s="4"/>
      <c r="B25" s="138" t="str">
        <f aca="true" t="shared" si="0" ref="B25:C29">B5</f>
        <v>Emergency response</v>
      </c>
      <c r="C25" s="138">
        <f t="shared" si="0"/>
        <v>3000</v>
      </c>
      <c r="D25" s="138"/>
      <c r="E25" s="137"/>
      <c r="F25" s="138"/>
      <c r="G25" s="138"/>
      <c r="H25" s="138"/>
      <c r="I25" s="137"/>
      <c r="J25" s="137"/>
      <c r="K25" s="4"/>
    </row>
    <row r="26" spans="1:11" ht="12.75">
      <c r="A26" s="4"/>
      <c r="B26" s="138" t="str">
        <f t="shared" si="0"/>
        <v>Coroner</v>
      </c>
      <c r="C26" s="138">
        <f t="shared" si="0"/>
        <v>300</v>
      </c>
      <c r="D26" s="138"/>
      <c r="E26" s="138"/>
      <c r="F26" s="138"/>
      <c r="G26" s="138"/>
      <c r="H26" s="138"/>
      <c r="I26" s="137"/>
      <c r="J26" s="137"/>
      <c r="K26" s="4"/>
    </row>
    <row r="27" spans="1:11" ht="12.75">
      <c r="A27" s="4"/>
      <c r="B27" s="138" t="str">
        <f t="shared" si="0"/>
        <v>Funeral service</v>
      </c>
      <c r="C27" s="138">
        <f t="shared" si="0"/>
        <v>12000</v>
      </c>
      <c r="D27" s="138"/>
      <c r="E27" s="138"/>
      <c r="F27" s="138"/>
      <c r="G27" s="138"/>
      <c r="H27" s="138"/>
      <c r="I27" s="137"/>
      <c r="J27" s="137"/>
      <c r="K27" s="4"/>
    </row>
    <row r="28" spans="1:11" ht="12.75">
      <c r="A28" s="4"/>
      <c r="B28" s="138" t="str">
        <f t="shared" si="0"/>
        <v>Cemetary expense</v>
      </c>
      <c r="C28" s="138">
        <f t="shared" si="0"/>
        <v>6000</v>
      </c>
      <c r="D28" s="137"/>
      <c r="E28" s="137"/>
      <c r="F28" s="137"/>
      <c r="G28" s="137"/>
      <c r="H28" s="137"/>
      <c r="I28" s="137"/>
      <c r="J28" s="137"/>
      <c r="K28" s="4"/>
    </row>
    <row r="29" spans="1:11" ht="12.75">
      <c r="A29" s="4"/>
      <c r="B29" s="138" t="str">
        <f t="shared" si="0"/>
        <v>Grave marker</v>
      </c>
      <c r="C29" s="138">
        <f t="shared" si="0"/>
        <v>2500</v>
      </c>
      <c r="D29" s="137"/>
      <c r="E29" s="137"/>
      <c r="F29" s="137"/>
      <c r="G29" s="137"/>
      <c r="H29" s="137"/>
      <c r="I29" s="137"/>
      <c r="J29" s="137" t="b">
        <v>1</v>
      </c>
      <c r="K29" s="4"/>
    </row>
    <row r="30" spans="1:11" ht="12.75">
      <c r="A30" s="4"/>
      <c r="B30" s="138"/>
      <c r="C30" s="138"/>
      <c r="D30" s="137"/>
      <c r="E30" s="137"/>
      <c r="F30" s="137"/>
      <c r="G30" s="137"/>
      <c r="H30" s="137"/>
      <c r="I30" s="137"/>
      <c r="J30" s="137"/>
      <c r="K30" s="4"/>
    </row>
    <row r="31" spans="1:11" ht="12.75">
      <c r="A31" s="4"/>
      <c r="B31" s="15"/>
      <c r="C31" s="15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3:11" ht="12.75"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 t="s">
        <v>88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ht="12.75">
      <c r="A49" s="4"/>
    </row>
  </sheetData>
  <mergeCells count="4">
    <mergeCell ref="E3:F3"/>
    <mergeCell ref="C21:D21"/>
    <mergeCell ref="H3:J4"/>
    <mergeCell ref="A20:I2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H52"/>
  <sheetViews>
    <sheetView workbookViewId="0" topLeftCell="A20">
      <selection activeCell="G41" sqref="G41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7.7109375" style="0" customWidth="1"/>
    <col min="4" max="4" width="9.7109375" style="0" customWidth="1"/>
  </cols>
  <sheetData>
    <row r="1" spans="1:8" ht="15">
      <c r="A1" s="216" t="s">
        <v>162</v>
      </c>
      <c r="B1" s="4"/>
      <c r="C1" s="4"/>
      <c r="D1" s="16" t="s">
        <v>73</v>
      </c>
      <c r="E1" s="4"/>
      <c r="F1" s="4"/>
      <c r="G1" s="4"/>
      <c r="H1" s="4"/>
    </row>
    <row r="2" spans="1:8" ht="12.75">
      <c r="A2" s="223" t="s">
        <v>161</v>
      </c>
      <c r="B2" s="355" t="s">
        <v>163</v>
      </c>
      <c r="C2" s="355"/>
      <c r="D2" s="127" t="s">
        <v>271</v>
      </c>
      <c r="E2" s="4"/>
      <c r="F2" s="4"/>
      <c r="G2" s="4"/>
      <c r="H2" s="4"/>
    </row>
    <row r="3" spans="1:8" ht="12.75">
      <c r="A3" s="4" t="s">
        <v>154</v>
      </c>
      <c r="B3" s="232">
        <v>6.2</v>
      </c>
      <c r="C3" s="233">
        <f>B3-(B3*D3)</f>
        <v>3.906</v>
      </c>
      <c r="D3" s="327">
        <v>0.37</v>
      </c>
      <c r="F3" s="4"/>
      <c r="G3" s="4"/>
      <c r="H3" s="4"/>
    </row>
    <row r="4" spans="1:8" ht="12.75" hidden="1">
      <c r="A4" s="4" t="s">
        <v>155</v>
      </c>
      <c r="B4" s="232">
        <v>3.3</v>
      </c>
      <c r="C4" s="154"/>
      <c r="D4" s="154"/>
      <c r="E4" s="154"/>
      <c r="F4" s="4"/>
      <c r="G4" s="4"/>
      <c r="H4" s="4"/>
    </row>
    <row r="5" spans="1:8" ht="12.75" hidden="1">
      <c r="A5" s="4" t="s">
        <v>156</v>
      </c>
      <c r="B5" s="232">
        <v>6.8</v>
      </c>
      <c r="C5" s="154"/>
      <c r="D5" s="154"/>
      <c r="E5" s="154"/>
      <c r="F5" s="4"/>
      <c r="G5" s="4"/>
      <c r="H5" s="4"/>
    </row>
    <row r="6" spans="1:8" ht="12.75" hidden="1">
      <c r="A6" s="4" t="s">
        <v>157</v>
      </c>
      <c r="B6" s="232">
        <v>6.8</v>
      </c>
      <c r="C6" s="154"/>
      <c r="D6" s="154"/>
      <c r="E6" s="154"/>
      <c r="F6" s="4"/>
      <c r="G6" s="4"/>
      <c r="H6" s="4"/>
    </row>
    <row r="7" spans="1:8" ht="12.75" hidden="1">
      <c r="A7" s="4" t="s">
        <v>158</v>
      </c>
      <c r="B7" s="232">
        <v>7.8</v>
      </c>
      <c r="C7" s="154"/>
      <c r="D7" s="154"/>
      <c r="E7" s="154"/>
      <c r="F7" s="4"/>
      <c r="G7" s="4"/>
      <c r="H7" s="4"/>
    </row>
    <row r="8" spans="1:8" ht="12.75" hidden="1">
      <c r="A8" s="4" t="s">
        <v>159</v>
      </c>
      <c r="B8" s="232">
        <v>4.7</v>
      </c>
      <c r="C8" s="154"/>
      <c r="D8" s="154"/>
      <c r="E8" s="154"/>
      <c r="F8" s="4"/>
      <c r="G8" s="4"/>
      <c r="H8" s="4"/>
    </row>
    <row r="9" spans="1:8" ht="12.75" hidden="1">
      <c r="A9" s="4" t="s">
        <v>160</v>
      </c>
      <c r="B9" s="232">
        <v>5.3</v>
      </c>
      <c r="C9" s="154"/>
      <c r="D9" s="154"/>
      <c r="E9" s="15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5.75" customHeight="1">
      <c r="A11" s="356" t="s">
        <v>293</v>
      </c>
      <c r="B11" s="356"/>
      <c r="C11" s="356"/>
      <c r="D11" s="356"/>
      <c r="E11" s="356"/>
      <c r="F11" s="356"/>
      <c r="G11" s="356"/>
      <c r="H11" s="356"/>
    </row>
    <row r="12" spans="1:8" ht="15.75" customHeight="1">
      <c r="A12" s="356"/>
      <c r="B12" s="356"/>
      <c r="C12" s="356"/>
      <c r="D12" s="356"/>
      <c r="E12" s="356"/>
      <c r="F12" s="356"/>
      <c r="G12" s="356"/>
      <c r="H12" s="356"/>
    </row>
    <row r="13" spans="2:8" ht="16.5" thickBot="1">
      <c r="B13" s="292">
        <f>6.2-3.9</f>
        <v>2.3000000000000003</v>
      </c>
      <c r="C13" s="291" t="s">
        <v>239</v>
      </c>
      <c r="D13" s="271"/>
      <c r="E13" s="4"/>
      <c r="F13" s="197" t="str">
        <f>IF(B13=2.3,"Correct!","Try again.")</f>
        <v>Correct!</v>
      </c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 t="s">
        <v>88</v>
      </c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mergeCells count="2">
    <mergeCell ref="B2:C2"/>
    <mergeCell ref="A11:H1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J52"/>
  <sheetViews>
    <sheetView zoomScale="95" zoomScaleNormal="95" workbookViewId="0" topLeftCell="A1">
      <selection activeCell="J7" sqref="J7"/>
    </sheetView>
  </sheetViews>
  <sheetFormatPr defaultColWidth="9.140625" defaultRowHeight="12.75"/>
  <cols>
    <col min="5" max="5" width="6.7109375" style="0" customWidth="1"/>
    <col min="6" max="6" width="5.7109375" style="0" customWidth="1"/>
    <col min="8" max="8" width="6.7109375" style="0" customWidth="1"/>
    <col min="9" max="9" width="11.7109375" style="0" customWidth="1"/>
  </cols>
  <sheetData>
    <row r="1" spans="1:10" ht="12.75">
      <c r="A1" s="357" t="s">
        <v>274</v>
      </c>
      <c r="B1" s="357"/>
      <c r="C1" s="357"/>
      <c r="D1" s="357"/>
      <c r="E1" s="51"/>
      <c r="F1" s="52"/>
      <c r="G1" s="4"/>
      <c r="H1" s="4"/>
      <c r="I1" s="4"/>
      <c r="J1" s="4"/>
    </row>
    <row r="2" spans="1:10" ht="12.75">
      <c r="A2" s="19" t="s">
        <v>15</v>
      </c>
      <c r="B2" s="19"/>
      <c r="C2" s="341" t="s">
        <v>68</v>
      </c>
      <c r="D2" s="341"/>
      <c r="E2" s="55"/>
      <c r="F2" s="4"/>
      <c r="G2" s="19" t="s">
        <v>61</v>
      </c>
      <c r="H2" s="4"/>
      <c r="I2" s="4"/>
      <c r="J2" s="4"/>
    </row>
    <row r="3" spans="1:10" ht="12.75">
      <c r="A3" s="358" t="s">
        <v>124</v>
      </c>
      <c r="B3" s="359"/>
      <c r="C3" s="4" t="s">
        <v>273</v>
      </c>
      <c r="D3" s="4" t="s">
        <v>272</v>
      </c>
      <c r="E3" s="4" t="s">
        <v>58</v>
      </c>
      <c r="G3" s="4"/>
      <c r="H3" s="4"/>
      <c r="I3" s="4"/>
      <c r="J3" s="4"/>
    </row>
    <row r="4" spans="1:10" ht="12.75">
      <c r="A4" s="4" t="s">
        <v>220</v>
      </c>
      <c r="B4" s="4"/>
      <c r="C4" s="234">
        <v>0.25</v>
      </c>
      <c r="D4" s="261">
        <v>200</v>
      </c>
      <c r="E4" s="54" t="s">
        <v>164</v>
      </c>
      <c r="F4" s="4"/>
      <c r="G4" s="28">
        <f>C4*D4*39</f>
        <v>1950</v>
      </c>
      <c r="H4" s="4" t="s">
        <v>165</v>
      </c>
      <c r="I4" s="4"/>
      <c r="J4" s="4"/>
    </row>
    <row r="5" spans="1:10" ht="12.75">
      <c r="A5" s="4" t="s">
        <v>297</v>
      </c>
      <c r="B5" s="4"/>
      <c r="C5" s="234">
        <v>0.15</v>
      </c>
      <c r="D5" s="261">
        <v>200</v>
      </c>
      <c r="E5" s="54" t="s">
        <v>164</v>
      </c>
      <c r="F5" s="4"/>
      <c r="G5" s="28">
        <f>C5*D5*39</f>
        <v>1170</v>
      </c>
      <c r="H5" s="4" t="s">
        <v>165</v>
      </c>
      <c r="I5" s="4"/>
      <c r="J5" s="4"/>
    </row>
    <row r="6" spans="1:10" ht="12.75">
      <c r="A6" s="4" t="s">
        <v>221</v>
      </c>
      <c r="B6" s="4"/>
      <c r="C6" s="234">
        <v>0.07</v>
      </c>
      <c r="D6" s="261">
        <v>200</v>
      </c>
      <c r="E6" s="54" t="s">
        <v>164</v>
      </c>
      <c r="F6" s="4"/>
      <c r="G6" s="28">
        <f>C6*D6*39</f>
        <v>546.0000000000001</v>
      </c>
      <c r="H6" s="4" t="s">
        <v>165</v>
      </c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33"/>
      <c r="B8" s="4"/>
      <c r="C8" s="4"/>
      <c r="D8" s="148"/>
      <c r="E8" s="4"/>
      <c r="F8" s="4"/>
      <c r="G8" s="4"/>
      <c r="H8" s="4"/>
      <c r="I8" s="4"/>
      <c r="J8" s="4"/>
    </row>
    <row r="9" spans="1:10" ht="16.5" thickBot="1">
      <c r="A9" s="360" t="s">
        <v>275</v>
      </c>
      <c r="B9" s="361"/>
      <c r="C9" s="361"/>
      <c r="D9" s="361"/>
      <c r="E9" s="361"/>
      <c r="F9" s="361"/>
      <c r="G9" s="361"/>
      <c r="H9" s="361"/>
      <c r="I9" s="242">
        <f>C6*D6</f>
        <v>14.000000000000002</v>
      </c>
      <c r="J9" s="240"/>
    </row>
    <row r="10" spans="1:10" ht="12.75">
      <c r="A10" s="56"/>
      <c r="B10" s="56"/>
      <c r="C10" s="56"/>
      <c r="D10" s="56"/>
      <c r="E10" s="4"/>
      <c r="F10" s="4"/>
      <c r="G10" s="4"/>
      <c r="H10" s="4"/>
      <c r="I10" s="302" t="str">
        <f>IF(I9=C6*D6,"Correct!","Try again.")</f>
        <v>Correct!</v>
      </c>
      <c r="J10" s="241"/>
    </row>
    <row r="11" spans="1:10" ht="12.75">
      <c r="A11" s="56"/>
      <c r="B11" s="56"/>
      <c r="C11" s="53"/>
      <c r="D11" s="56"/>
      <c r="E11" s="4"/>
      <c r="F11" s="4"/>
      <c r="G11" s="4"/>
      <c r="H11" s="4"/>
      <c r="I11" s="4"/>
      <c r="J11" s="4"/>
    </row>
    <row r="12" spans="1:10" ht="12.75">
      <c r="A12" s="56"/>
      <c r="B12" s="61"/>
      <c r="C12" s="121"/>
      <c r="D12" s="61"/>
      <c r="E12" s="61"/>
      <c r="F12" s="4"/>
      <c r="G12" s="4"/>
      <c r="H12" s="4"/>
      <c r="I12" s="4"/>
      <c r="J12" s="4"/>
    </row>
    <row r="13" spans="1:10" ht="12.75">
      <c r="A13" s="56"/>
      <c r="B13" s="61"/>
      <c r="C13" s="121"/>
      <c r="D13" s="61"/>
      <c r="E13" s="61"/>
      <c r="F13" s="4"/>
      <c r="G13" s="4"/>
      <c r="H13" s="4"/>
      <c r="I13" s="4"/>
      <c r="J13" s="4"/>
    </row>
    <row r="14" spans="1:10" ht="12.75">
      <c r="A14" s="4" t="str">
        <f>A4</f>
        <v>Drug store</v>
      </c>
      <c r="B14" s="273">
        <f>C4*200</f>
        <v>50</v>
      </c>
      <c r="C14" s="121"/>
      <c r="D14" s="61"/>
      <c r="E14" s="61"/>
      <c r="F14" s="4"/>
      <c r="G14" s="4"/>
      <c r="H14" s="4"/>
      <c r="I14" s="4"/>
      <c r="J14" s="4"/>
    </row>
    <row r="15" spans="1:10" ht="12.75">
      <c r="A15" s="4" t="str">
        <f>A5</f>
        <v>Big box store</v>
      </c>
      <c r="B15" s="273">
        <f>C5*200</f>
        <v>30</v>
      </c>
      <c r="C15" s="121"/>
      <c r="D15" s="121"/>
      <c r="E15" s="61"/>
      <c r="F15" s="4"/>
      <c r="G15" s="4"/>
      <c r="H15" s="4"/>
      <c r="I15" s="4"/>
      <c r="J15" s="4"/>
    </row>
    <row r="16" spans="1:10" ht="12.75">
      <c r="A16" s="4" t="str">
        <f>A6</f>
        <v>Internet</v>
      </c>
      <c r="B16" s="273">
        <f>C6*200</f>
        <v>14.000000000000002</v>
      </c>
      <c r="C16" s="121"/>
      <c r="D16" s="121"/>
      <c r="E16" s="61"/>
      <c r="F16" s="4"/>
      <c r="G16" s="4"/>
      <c r="H16" s="4"/>
      <c r="I16" s="4"/>
      <c r="J16" s="4"/>
    </row>
    <row r="17" spans="1:10" ht="12.75">
      <c r="A17" s="4"/>
      <c r="B17" s="61"/>
      <c r="C17" s="121"/>
      <c r="D17" s="61"/>
      <c r="E17" s="61"/>
      <c r="F17" s="4"/>
      <c r="G17" s="4"/>
      <c r="H17" s="4"/>
      <c r="I17" s="4"/>
      <c r="J17" s="4"/>
    </row>
    <row r="18" spans="1:10" ht="12.75">
      <c r="A18" s="4"/>
      <c r="B18" s="61"/>
      <c r="C18" s="121"/>
      <c r="D18" s="61"/>
      <c r="E18" s="61"/>
      <c r="F18" s="4"/>
      <c r="G18" s="4"/>
      <c r="H18" s="4"/>
      <c r="I18" s="4"/>
      <c r="J18" s="4"/>
    </row>
    <row r="19" spans="1:10" ht="12.75">
      <c r="A19" s="4"/>
      <c r="B19" s="61"/>
      <c r="C19" s="121"/>
      <c r="D19" s="61"/>
      <c r="E19" s="61"/>
      <c r="F19" s="4"/>
      <c r="G19" s="4"/>
      <c r="H19" s="4"/>
      <c r="I19" s="4"/>
      <c r="J19" s="4"/>
    </row>
    <row r="20" spans="1:10" ht="12.75">
      <c r="A20" s="4"/>
      <c r="B20" s="61"/>
      <c r="C20" s="121"/>
      <c r="D20" s="61"/>
      <c r="E20" s="61"/>
      <c r="F20" s="4"/>
      <c r="G20" s="4"/>
      <c r="H20" s="4"/>
      <c r="I20" s="4"/>
      <c r="J20" s="4"/>
    </row>
    <row r="21" spans="1:10" ht="12.75">
      <c r="A21" s="4"/>
      <c r="B21" s="56"/>
      <c r="C21" s="53"/>
      <c r="D21" s="56"/>
      <c r="E21" s="4"/>
      <c r="F21" s="4"/>
      <c r="G21" s="4"/>
      <c r="H21" s="4"/>
      <c r="I21" s="4"/>
      <c r="J21" s="4"/>
    </row>
    <row r="22" spans="1:10" ht="12.75">
      <c r="A22" s="4"/>
      <c r="B22" s="56"/>
      <c r="C22" s="53"/>
      <c r="D22" s="56"/>
      <c r="E22" s="4"/>
      <c r="F22" s="4"/>
      <c r="G22" s="4"/>
      <c r="H22" s="4"/>
      <c r="I22" s="4"/>
      <c r="J22" s="4"/>
    </row>
    <row r="23" spans="1:10" ht="12.75">
      <c r="A23" s="4"/>
      <c r="B23" s="56"/>
      <c r="C23" s="53"/>
      <c r="D23" s="56"/>
      <c r="E23" s="4"/>
      <c r="F23" s="4"/>
      <c r="G23" s="4"/>
      <c r="H23" s="4"/>
      <c r="I23" s="4"/>
      <c r="J23" s="4"/>
    </row>
    <row r="24" spans="1:10" ht="12.75">
      <c r="A24" s="4"/>
      <c r="B24" s="56"/>
      <c r="C24" s="53"/>
      <c r="D24" s="56"/>
      <c r="E24" s="4"/>
      <c r="F24" s="4"/>
      <c r="G24" s="4"/>
      <c r="H24" s="4"/>
      <c r="I24" s="4"/>
      <c r="J24" s="4"/>
    </row>
    <row r="25" spans="1:10" ht="12.75">
      <c r="A25" s="4"/>
      <c r="B25" s="56"/>
      <c r="C25" s="53"/>
      <c r="D25" s="56"/>
      <c r="E25" s="4"/>
      <c r="F25" s="4"/>
      <c r="G25" s="4"/>
      <c r="H25" s="4"/>
      <c r="I25" s="4"/>
      <c r="J25" s="4"/>
    </row>
    <row r="26" spans="2:10" ht="12.75">
      <c r="B26" s="56"/>
      <c r="C26" s="53"/>
      <c r="D26" s="56"/>
      <c r="E26" s="4"/>
      <c r="F26" s="4"/>
      <c r="G26" s="4"/>
      <c r="H26" s="4"/>
      <c r="I26" s="4"/>
      <c r="J26" s="4"/>
    </row>
    <row r="27" spans="1:10" ht="12.75">
      <c r="A27" s="4"/>
      <c r="B27" s="56"/>
      <c r="C27" s="53"/>
      <c r="D27" s="56"/>
      <c r="E27" s="4"/>
      <c r="F27" s="4"/>
      <c r="G27" s="4"/>
      <c r="H27" s="4"/>
      <c r="I27" s="4"/>
      <c r="J27" s="4"/>
    </row>
    <row r="28" spans="1:10" ht="12.75">
      <c r="A28" s="4"/>
      <c r="B28" s="56"/>
      <c r="C28" s="53"/>
      <c r="D28" s="56"/>
      <c r="E28" s="4"/>
      <c r="F28" s="4"/>
      <c r="G28" s="4"/>
      <c r="H28" s="4"/>
      <c r="I28" s="4"/>
      <c r="J28" s="4"/>
    </row>
    <row r="29" spans="1:10" ht="12.75">
      <c r="A29" s="4"/>
      <c r="B29" s="56"/>
      <c r="C29" s="53"/>
      <c r="D29" s="56"/>
      <c r="E29" s="4"/>
      <c r="F29" s="4"/>
      <c r="G29" s="4"/>
      <c r="H29" s="4"/>
      <c r="I29" s="4"/>
      <c r="J29" s="4"/>
    </row>
    <row r="30" spans="1:10" ht="12.75">
      <c r="A30" s="4"/>
      <c r="B30" s="56"/>
      <c r="C30" s="53"/>
      <c r="D30" s="56"/>
      <c r="E30" s="4"/>
      <c r="F30" s="4"/>
      <c r="G30" s="4"/>
      <c r="H30" s="4"/>
      <c r="I30" s="4"/>
      <c r="J30" s="4"/>
    </row>
    <row r="31" spans="1:10" ht="12.75">
      <c r="A31" s="4"/>
      <c r="B31" s="56"/>
      <c r="C31" s="53"/>
      <c r="D31" s="56"/>
      <c r="E31" s="4"/>
      <c r="F31" s="4"/>
      <c r="G31" s="4"/>
      <c r="H31" s="4"/>
      <c r="I31" s="4"/>
      <c r="J31" s="4"/>
    </row>
    <row r="32" spans="1:10" ht="12.75">
      <c r="A32" s="4"/>
      <c r="B32" s="56"/>
      <c r="C32" s="53"/>
      <c r="D32" s="56"/>
      <c r="E32" s="4"/>
      <c r="F32" s="4"/>
      <c r="G32" s="4"/>
      <c r="H32" s="4"/>
      <c r="I32" s="4"/>
      <c r="J32" s="4"/>
    </row>
    <row r="33" spans="1:10" ht="12.75">
      <c r="A33" s="4"/>
      <c r="B33" s="56"/>
      <c r="C33" s="53"/>
      <c r="D33" s="56"/>
      <c r="E33" s="4"/>
      <c r="F33" s="4"/>
      <c r="G33" s="4"/>
      <c r="H33" s="4"/>
      <c r="I33" s="4"/>
      <c r="J33" s="4"/>
    </row>
    <row r="34" spans="1:10" ht="12.75">
      <c r="A34" s="4"/>
      <c r="B34" s="56"/>
      <c r="C34" s="53"/>
      <c r="D34" s="56"/>
      <c r="E34" s="4"/>
      <c r="F34" s="4"/>
      <c r="G34" s="4"/>
      <c r="H34" s="4"/>
      <c r="I34" s="4"/>
      <c r="J34" s="4"/>
    </row>
    <row r="35" spans="1:10" ht="12.75">
      <c r="A35" s="4"/>
      <c r="B35" s="56"/>
      <c r="C35" s="53"/>
      <c r="D35" s="56"/>
      <c r="E35" s="4"/>
      <c r="F35" s="4"/>
      <c r="G35" s="4"/>
      <c r="H35" s="4"/>
      <c r="I35" s="4"/>
      <c r="J35" s="4"/>
    </row>
    <row r="36" spans="1:10" ht="12.75">
      <c r="A36" s="4"/>
      <c r="B36" s="56"/>
      <c r="C36" s="53"/>
      <c r="D36" s="56"/>
      <c r="E36" s="4"/>
      <c r="F36" s="4"/>
      <c r="G36" s="4"/>
      <c r="H36" s="4"/>
      <c r="I36" s="4"/>
      <c r="J36" s="4"/>
    </row>
    <row r="37" spans="1:10" ht="12.75">
      <c r="A37" s="4"/>
      <c r="B37" s="56"/>
      <c r="C37" s="53"/>
      <c r="D37" s="56"/>
      <c r="E37" s="4"/>
      <c r="F37" s="4"/>
      <c r="G37" s="4"/>
      <c r="H37" s="4"/>
      <c r="I37" s="4"/>
      <c r="J37" s="4"/>
    </row>
    <row r="38" spans="1:10" ht="12.75">
      <c r="A38" s="4"/>
      <c r="B38" s="56"/>
      <c r="C38" s="53"/>
      <c r="D38" s="56"/>
      <c r="E38" s="4"/>
      <c r="F38" s="4"/>
      <c r="G38" s="4"/>
      <c r="H38" s="4"/>
      <c r="I38" s="4"/>
      <c r="J38" s="4"/>
    </row>
    <row r="39" spans="1:10" ht="12.75">
      <c r="A39" s="4"/>
      <c r="B39" s="56"/>
      <c r="C39" s="53"/>
      <c r="D39" s="56"/>
      <c r="E39" s="4"/>
      <c r="F39" s="4"/>
      <c r="G39" s="4"/>
      <c r="H39" s="4"/>
      <c r="I39" s="4"/>
      <c r="J39" s="4"/>
    </row>
    <row r="40" spans="1:10" ht="12.75">
      <c r="A40" s="4"/>
      <c r="B40" s="56"/>
      <c r="C40" s="53"/>
      <c r="D40" s="56"/>
      <c r="E40" s="4"/>
      <c r="F40" s="4"/>
      <c r="G40" s="4"/>
      <c r="H40" s="4"/>
      <c r="I40" s="4"/>
      <c r="J40" s="4"/>
    </row>
    <row r="41" spans="2:10" ht="12.75">
      <c r="B41" s="56"/>
      <c r="C41" s="53"/>
      <c r="D41" s="56"/>
      <c r="E41" s="4"/>
      <c r="F41" s="4"/>
      <c r="G41" s="4"/>
      <c r="H41" s="4"/>
      <c r="I41" s="4"/>
      <c r="J41" s="4"/>
    </row>
    <row r="42" spans="1:10" ht="12.75">
      <c r="A42" s="4"/>
      <c r="B42" s="56"/>
      <c r="C42" s="53"/>
      <c r="D42" s="56"/>
      <c r="E42" s="4"/>
      <c r="F42" s="4"/>
      <c r="G42" s="4"/>
      <c r="H42" s="4"/>
      <c r="I42" s="4"/>
      <c r="J42" s="4"/>
    </row>
    <row r="43" spans="1:10" ht="12.75">
      <c r="A43" s="4"/>
      <c r="B43" s="56"/>
      <c r="C43" s="53"/>
      <c r="D43" s="56"/>
      <c r="E43" s="4"/>
      <c r="F43" s="4"/>
      <c r="G43" s="4"/>
      <c r="H43" s="4"/>
      <c r="I43" s="4"/>
      <c r="J43" s="4"/>
    </row>
    <row r="44" spans="1:10" ht="12.75">
      <c r="A44" s="4"/>
      <c r="B44" s="56"/>
      <c r="C44" s="53"/>
      <c r="D44" s="56"/>
      <c r="E44" s="4"/>
      <c r="F44" s="4"/>
      <c r="G44" s="4"/>
      <c r="H44" s="4"/>
      <c r="I44" s="4"/>
      <c r="J44" s="4"/>
    </row>
    <row r="45" spans="1:10" ht="12.75">
      <c r="A45" s="4"/>
      <c r="B45" s="56"/>
      <c r="C45" s="53"/>
      <c r="D45" s="56"/>
      <c r="E45" s="4"/>
      <c r="F45" s="4"/>
      <c r="G45" s="4"/>
      <c r="H45" s="4"/>
      <c r="I45" s="4"/>
      <c r="J45" s="4"/>
    </row>
    <row r="46" spans="1:10" ht="12.75">
      <c r="A46" s="4"/>
      <c r="B46" s="56"/>
      <c r="C46" s="53"/>
      <c r="D46" s="56"/>
      <c r="E46" s="4"/>
      <c r="F46" s="4"/>
      <c r="G46" s="4"/>
      <c r="H46" s="4"/>
      <c r="I46" s="4"/>
      <c r="J46" s="4"/>
    </row>
    <row r="47" spans="1:10" ht="12.75">
      <c r="A47" s="4"/>
      <c r="B47" s="56"/>
      <c r="C47" s="53"/>
      <c r="D47" s="56"/>
      <c r="E47" s="4"/>
      <c r="F47" s="4"/>
      <c r="G47" s="4"/>
      <c r="H47" s="4"/>
      <c r="I47" s="4"/>
      <c r="J47" s="4"/>
    </row>
    <row r="48" spans="1:10" ht="12.75">
      <c r="A48" s="4"/>
      <c r="B48" s="56"/>
      <c r="C48" s="53"/>
      <c r="D48" s="56"/>
      <c r="E48" s="4"/>
      <c r="F48" s="4"/>
      <c r="G48" s="4"/>
      <c r="H48" s="4"/>
      <c r="I48" s="4"/>
      <c r="J48" s="4"/>
    </row>
    <row r="49" spans="1:10" ht="12.75">
      <c r="A49" s="4"/>
      <c r="B49" s="56"/>
      <c r="C49" s="53"/>
      <c r="D49" s="56"/>
      <c r="E49" s="4"/>
      <c r="F49" s="4"/>
      <c r="G49" s="4"/>
      <c r="H49" s="4"/>
      <c r="I49" s="4"/>
      <c r="J49" s="4"/>
    </row>
    <row r="50" spans="1:10" ht="12.75">
      <c r="A50" s="4"/>
      <c r="B50" s="56"/>
      <c r="C50" s="53"/>
      <c r="D50" s="56"/>
      <c r="E50" s="4"/>
      <c r="F50" s="4"/>
      <c r="G50" s="4"/>
      <c r="H50" s="4"/>
      <c r="I50" s="4"/>
      <c r="J50" s="4"/>
    </row>
    <row r="51" spans="1:10" ht="12.75">
      <c r="A51" s="4" t="s">
        <v>88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mergeCells count="4">
    <mergeCell ref="C2:D2"/>
    <mergeCell ref="A1:D1"/>
    <mergeCell ref="A3:B3"/>
    <mergeCell ref="A9:H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R77"/>
  <sheetViews>
    <sheetView workbookViewId="0" topLeftCell="A1">
      <selection activeCell="E1" sqref="E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9.7109375" style="0" customWidth="1"/>
    <col min="4" max="4" width="4.7109375" style="0" customWidth="1"/>
    <col min="6" max="6" width="12.7109375" style="0" customWidth="1"/>
    <col min="8" max="8" width="10.00390625" style="0" bestFit="1" customWidth="1"/>
  </cols>
  <sheetData>
    <row r="1" spans="1:18" ht="15">
      <c r="A1" s="362" t="s">
        <v>276</v>
      </c>
      <c r="B1" s="362"/>
      <c r="C1" s="362"/>
      <c r="D1" s="362"/>
      <c r="E1" s="4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4.25">
      <c r="A2" s="114"/>
      <c r="B2" s="297">
        <v>0.1</v>
      </c>
      <c r="C2" s="128" t="s">
        <v>167</v>
      </c>
      <c r="D2" s="4"/>
      <c r="E2" s="4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>
      <c r="A3" s="299" t="s">
        <v>240</v>
      </c>
      <c r="B3" s="296">
        <v>2000</v>
      </c>
      <c r="C3" s="124" t="s">
        <v>82</v>
      </c>
      <c r="D3" s="4"/>
      <c r="E3" s="4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5"/>
      <c r="B4" s="295"/>
      <c r="C4" s="118"/>
      <c r="D4" s="4"/>
      <c r="E4" s="4"/>
      <c r="F4" s="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.75">
      <c r="A5" s="334" t="s">
        <v>294</v>
      </c>
      <c r="B5" s="334"/>
      <c r="C5" s="334"/>
      <c r="D5" s="334"/>
      <c r="E5" s="334"/>
      <c r="F5" s="294"/>
      <c r="G5" s="293"/>
      <c r="H5" s="293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6.5" thickBot="1">
      <c r="A6" s="156"/>
      <c r="B6" s="328">
        <v>0.1</v>
      </c>
      <c r="C6" s="335" t="s">
        <v>243</v>
      </c>
      <c r="D6" s="335"/>
      <c r="E6" s="197" t="str">
        <f>IF(B6=B2,"Correct!","Try again.")</f>
        <v>Correct!</v>
      </c>
      <c r="F6" s="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156"/>
      <c r="B7" s="157"/>
      <c r="C7" s="137"/>
      <c r="D7" s="4"/>
      <c r="E7" s="4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56"/>
      <c r="B8" s="157"/>
      <c r="C8" s="137"/>
      <c r="D8" s="4"/>
      <c r="E8" s="4"/>
      <c r="F8" s="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156"/>
      <c r="B9" s="157"/>
      <c r="C9" s="137"/>
      <c r="D9" s="137"/>
      <c r="E9" s="4"/>
      <c r="F9" s="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158"/>
      <c r="B10" s="137" t="s">
        <v>97</v>
      </c>
      <c r="C10" s="159"/>
      <c r="D10" s="137"/>
      <c r="E10" s="4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2.75">
      <c r="A11" s="156" t="s">
        <v>242</v>
      </c>
      <c r="B11" s="160">
        <f>B2*B3</f>
        <v>200</v>
      </c>
      <c r="C11" s="159"/>
      <c r="D11" s="137"/>
      <c r="E11" s="4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156" t="s">
        <v>241</v>
      </c>
      <c r="B12" s="160">
        <f>B3-B11</f>
        <v>1800</v>
      </c>
      <c r="C12" s="159"/>
      <c r="D12" s="137"/>
      <c r="E12" s="4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249"/>
      <c r="B13" s="298"/>
      <c r="C13" s="249"/>
      <c r="D13" s="137"/>
      <c r="E13" s="4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137"/>
      <c r="B14" s="161"/>
      <c r="C14" s="137"/>
      <c r="D14" s="137"/>
      <c r="E14" s="4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137"/>
      <c r="B15" s="137"/>
      <c r="C15" s="137"/>
      <c r="D15" s="4"/>
      <c r="E15" s="4"/>
      <c r="F15" s="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4"/>
      <c r="B16" s="4"/>
      <c r="C16" s="4"/>
      <c r="D16" s="4"/>
      <c r="E16" s="4"/>
      <c r="F16" s="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4"/>
      <c r="B17" s="4"/>
      <c r="C17" s="4"/>
      <c r="D17" s="4"/>
      <c r="E17" s="4"/>
      <c r="F17" s="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4"/>
      <c r="B18" s="4"/>
      <c r="C18" s="4"/>
      <c r="D18" s="4"/>
      <c r="E18" s="4"/>
      <c r="F18" s="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4"/>
      <c r="B19" s="4"/>
      <c r="C19" s="4"/>
      <c r="D19" s="4"/>
      <c r="E19" s="4"/>
      <c r="F19" s="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4"/>
      <c r="B20" s="4"/>
      <c r="C20" s="4"/>
      <c r="D20" s="4"/>
      <c r="E20" s="4"/>
      <c r="F20" s="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4"/>
      <c r="B21" s="4"/>
      <c r="C21" s="4"/>
      <c r="D21" s="4"/>
      <c r="E21" s="4"/>
      <c r="F21" s="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4"/>
      <c r="B22" s="4"/>
      <c r="C22" s="4"/>
      <c r="D22" s="4"/>
      <c r="E22" s="4"/>
      <c r="F22" s="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4"/>
      <c r="B23" s="4"/>
      <c r="C23" s="4"/>
      <c r="D23" s="4"/>
      <c r="E23" s="4"/>
      <c r="F23" s="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4"/>
      <c r="B24" s="4"/>
      <c r="C24" s="4"/>
      <c r="D24" s="4"/>
      <c r="E24" s="4"/>
      <c r="F24" s="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4"/>
      <c r="B25" s="4"/>
      <c r="C25" s="4"/>
      <c r="D25" s="4"/>
      <c r="E25" s="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4"/>
      <c r="B26" s="4"/>
      <c r="C26" s="4"/>
      <c r="D26" s="4"/>
      <c r="E26" s="4"/>
      <c r="F26" s="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4"/>
      <c r="B27" s="4"/>
      <c r="C27" s="4"/>
      <c r="D27" s="4"/>
      <c r="E27" s="4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4"/>
      <c r="B28" s="4"/>
      <c r="C28" s="4"/>
      <c r="D28" s="4"/>
      <c r="E28" s="4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4"/>
      <c r="B29" s="4"/>
      <c r="C29" s="4"/>
      <c r="D29" s="4"/>
      <c r="E29" s="4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4"/>
      <c r="B30" s="4"/>
      <c r="C30" s="4"/>
      <c r="D30" s="4"/>
      <c r="E30" s="4"/>
      <c r="F30" s="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4"/>
      <c r="B31" s="4"/>
      <c r="C31" s="4"/>
      <c r="D31" s="4"/>
      <c r="E31" s="4"/>
      <c r="F31" s="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4"/>
      <c r="B32" s="4"/>
      <c r="C32" s="4"/>
      <c r="D32" s="4"/>
      <c r="E32" s="4"/>
      <c r="F32" s="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4"/>
      <c r="B33" s="4"/>
      <c r="C33" s="4"/>
      <c r="D33" s="4"/>
      <c r="E33" s="4"/>
      <c r="F33" s="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4"/>
      <c r="B34" s="4"/>
      <c r="C34" s="4"/>
      <c r="D34" s="4"/>
      <c r="E34" s="4"/>
      <c r="F34" s="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4"/>
      <c r="B35" s="4"/>
      <c r="C35" s="4"/>
      <c r="D35" s="4"/>
      <c r="E35" s="4"/>
      <c r="F35" s="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4"/>
      <c r="B45" s="4"/>
      <c r="C45" s="4"/>
      <c r="D45" s="4"/>
      <c r="E45" s="4"/>
      <c r="F45" s="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.75">
      <c r="A46" s="4"/>
      <c r="B46" s="4"/>
      <c r="C46" s="4"/>
      <c r="D46" s="4"/>
      <c r="E46" s="4"/>
      <c r="F46" s="4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2.75">
      <c r="A47" s="4"/>
      <c r="B47" s="4"/>
      <c r="C47" s="4"/>
      <c r="D47" s="4"/>
      <c r="E47" s="4"/>
      <c r="F47" s="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4"/>
      <c r="B48" s="4"/>
      <c r="C48" s="4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4"/>
      <c r="B49" s="4"/>
      <c r="C49" s="4"/>
      <c r="D49" s="4"/>
      <c r="E49" s="4"/>
      <c r="F49" s="4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4"/>
      <c r="B50" s="4"/>
      <c r="C50" s="4"/>
      <c r="D50" s="4"/>
      <c r="E50" s="4"/>
      <c r="F50" s="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t="s">
        <v>88</v>
      </c>
      <c r="B51" s="4"/>
      <c r="C51" s="4"/>
      <c r="D51" s="4"/>
      <c r="E51" s="4"/>
      <c r="F51" s="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7:18" ht="12.75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7:18" ht="12.75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7:18" ht="12.75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7:18" ht="12.75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7:18" ht="12.75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7:18" ht="12.75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7:18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7:18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7:18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7:18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7:18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7:18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7:18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7:18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7:18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7:18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7:18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7:18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7:18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7:18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7:18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7:18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7:18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7:18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7:18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7:18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</sheetData>
  <mergeCells count="3">
    <mergeCell ref="A1:D1"/>
    <mergeCell ref="A5:E5"/>
    <mergeCell ref="C6:D6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E54"/>
  <sheetViews>
    <sheetView workbookViewId="0" topLeftCell="A5">
      <selection activeCell="E7" sqref="E7"/>
    </sheetView>
  </sheetViews>
  <sheetFormatPr defaultColWidth="9.140625" defaultRowHeight="12.75"/>
  <cols>
    <col min="1" max="1" width="51.7109375" style="0" customWidth="1"/>
    <col min="3" max="3" width="9.28125" style="0" bestFit="1" customWidth="1"/>
    <col min="5" max="5" width="11.28125" style="0" bestFit="1" customWidth="1"/>
  </cols>
  <sheetData>
    <row r="1" spans="1:5" ht="15">
      <c r="A1" s="362" t="s">
        <v>277</v>
      </c>
      <c r="B1" s="362"/>
      <c r="C1" s="362"/>
      <c r="D1" s="51"/>
      <c r="E1" s="52"/>
    </row>
    <row r="2" spans="1:5" ht="14.25" hidden="1">
      <c r="A2" s="114" t="s">
        <v>169</v>
      </c>
      <c r="B2" s="230">
        <f>9ExposureHours!B2</f>
        <v>0.1</v>
      </c>
      <c r="C2" s="114"/>
      <c r="D2" s="4"/>
      <c r="E2" s="4"/>
    </row>
    <row r="3" spans="1:5" ht="14.25" hidden="1">
      <c r="A3" s="114" t="s">
        <v>126</v>
      </c>
      <c r="B3" s="122">
        <f>9ExposureHours!B3</f>
        <v>2000</v>
      </c>
      <c r="C3" s="123"/>
      <c r="D3" s="4"/>
      <c r="E3" s="4"/>
    </row>
    <row r="4" spans="1:5" ht="14.25" hidden="1">
      <c r="A4" s="114"/>
      <c r="B4" s="114"/>
      <c r="C4" s="114"/>
      <c r="D4" s="4"/>
      <c r="E4" s="4"/>
    </row>
    <row r="5" spans="1:5" ht="15">
      <c r="A5" s="117" t="s">
        <v>289</v>
      </c>
      <c r="B5" s="217">
        <v>33</v>
      </c>
      <c r="C5" s="114" t="s">
        <v>168</v>
      </c>
      <c r="D5" s="4"/>
      <c r="E5" s="4"/>
    </row>
    <row r="6" spans="1:5" ht="15">
      <c r="A6" s="117" t="s">
        <v>171</v>
      </c>
      <c r="B6" s="235">
        <f>B5*0.75</f>
        <v>24.75</v>
      </c>
      <c r="C6" s="114" t="s">
        <v>168</v>
      </c>
      <c r="D6" s="4"/>
      <c r="E6" s="4"/>
    </row>
    <row r="7" spans="1:5" ht="15">
      <c r="A7" s="117"/>
      <c r="B7" s="300"/>
      <c r="C7" s="114"/>
      <c r="D7" s="4"/>
      <c r="E7" s="4"/>
    </row>
    <row r="8" spans="1:5" ht="15">
      <c r="A8" s="301" t="s">
        <v>291</v>
      </c>
      <c r="B8" s="300"/>
      <c r="C8" s="114"/>
      <c r="D8" s="4"/>
      <c r="E8" s="4"/>
    </row>
    <row r="9" spans="1:5" ht="16.5" thickBot="1">
      <c r="A9" s="114"/>
      <c r="B9" s="352" t="s">
        <v>235</v>
      </c>
      <c r="C9" s="352"/>
      <c r="D9" s="197" t="str">
        <f>IF(B9=A12,"Correct!","Try again.")</f>
        <v>Correct!</v>
      </c>
      <c r="E9" s="4"/>
    </row>
    <row r="10" spans="1:5" ht="15.75">
      <c r="A10" s="114"/>
      <c r="B10" s="203"/>
      <c r="C10" s="203"/>
      <c r="D10" s="197"/>
      <c r="E10" s="4"/>
    </row>
    <row r="11" spans="1:5" ht="12.75">
      <c r="A11" s="4"/>
      <c r="B11" s="4" t="s">
        <v>233</v>
      </c>
      <c r="C11" s="4" t="s">
        <v>234</v>
      </c>
      <c r="D11" s="4"/>
      <c r="E11" s="4"/>
    </row>
    <row r="12" spans="1:5" ht="12.75">
      <c r="A12" s="4" t="s">
        <v>295</v>
      </c>
      <c r="B12" s="260">
        <f>E12-C12</f>
        <v>140.25</v>
      </c>
      <c r="C12" s="280">
        <f>B$6</f>
        <v>24.75</v>
      </c>
      <c r="D12" s="4"/>
      <c r="E12" s="4">
        <f>2NoiseSources!B5</f>
        <v>165</v>
      </c>
    </row>
    <row r="13" spans="1:5" ht="12.75">
      <c r="A13" s="4" t="str">
        <f>2NoiseSources!A6</f>
        <v>Chain saw</v>
      </c>
      <c r="B13" s="260">
        <f aca="true" t="shared" si="0" ref="B13:B22">E13-C13</f>
        <v>85.25</v>
      </c>
      <c r="C13" s="280">
        <f aca="true" t="shared" si="1" ref="C13:C22">B$6</f>
        <v>24.75</v>
      </c>
      <c r="D13" s="4"/>
      <c r="E13" s="4">
        <f>2NoiseSources!B6</f>
        <v>110</v>
      </c>
    </row>
    <row r="14" spans="1:5" ht="12.75">
      <c r="A14" s="4" t="str">
        <f>2NoiseSources!A7</f>
        <v>Pig handling</v>
      </c>
      <c r="B14" s="260">
        <f t="shared" si="0"/>
        <v>84.25</v>
      </c>
      <c r="C14" s="280">
        <f t="shared" si="1"/>
        <v>24.75</v>
      </c>
      <c r="D14" s="4"/>
      <c r="E14" s="4">
        <f>2NoiseSources!B7</f>
        <v>109</v>
      </c>
    </row>
    <row r="15" spans="1:5" ht="12.75">
      <c r="A15" s="4" t="str">
        <f>2NoiseSources!A8</f>
        <v>Irrigation pump</v>
      </c>
      <c r="B15" s="260">
        <f t="shared" si="0"/>
        <v>75.25</v>
      </c>
      <c r="C15" s="280">
        <f t="shared" si="1"/>
        <v>24.75</v>
      </c>
      <c r="D15" s="4"/>
      <c r="E15" s="4">
        <f>2NoiseSources!B8</f>
        <v>100</v>
      </c>
    </row>
    <row r="16" spans="1:5" ht="12.75">
      <c r="A16" s="4" t="str">
        <f>2NoiseSources!A9</f>
        <v>Grinder</v>
      </c>
      <c r="B16" s="260">
        <f t="shared" si="0"/>
        <v>74.25</v>
      </c>
      <c r="C16" s="280">
        <f t="shared" si="1"/>
        <v>24.75</v>
      </c>
      <c r="D16" s="4"/>
      <c r="E16" s="4">
        <f>2NoiseSources!B9</f>
        <v>99</v>
      </c>
    </row>
    <row r="17" spans="1:5" ht="12.75">
      <c r="A17" s="4" t="str">
        <f>2NoiseSources!A10</f>
        <v>Circular Saw</v>
      </c>
      <c r="B17" s="260">
        <f t="shared" si="0"/>
        <v>74.25</v>
      </c>
      <c r="C17" s="280">
        <f t="shared" si="1"/>
        <v>24.75</v>
      </c>
      <c r="D17" s="4"/>
      <c r="E17" s="4">
        <f>2NoiseSources!B10</f>
        <v>99</v>
      </c>
    </row>
    <row r="18" spans="1:5" ht="12.75">
      <c r="A18" s="4" t="str">
        <f>2NoiseSources!A11</f>
        <v>Bulldozer</v>
      </c>
      <c r="B18" s="260">
        <f t="shared" si="0"/>
        <v>74.25</v>
      </c>
      <c r="C18" s="280">
        <f t="shared" si="1"/>
        <v>24.75</v>
      </c>
      <c r="D18" s="4"/>
      <c r="E18" s="4">
        <f>2NoiseSources!B11</f>
        <v>99</v>
      </c>
    </row>
    <row r="19" spans="1:5" ht="12.75">
      <c r="A19" s="4" t="str">
        <f>2NoiseSources!A12</f>
        <v>Tractor</v>
      </c>
      <c r="B19" s="260">
        <f t="shared" si="0"/>
        <v>71.25</v>
      </c>
      <c r="C19" s="280">
        <f t="shared" si="1"/>
        <v>24.75</v>
      </c>
      <c r="D19" s="4"/>
      <c r="E19" s="4">
        <f>2NoiseSources!B12</f>
        <v>96</v>
      </c>
    </row>
    <row r="20" spans="1:5" ht="12.75">
      <c r="A20" s="4" t="str">
        <f>2NoiseSources!A13</f>
        <v>Auger</v>
      </c>
      <c r="B20" s="260">
        <f t="shared" si="0"/>
        <v>68.25</v>
      </c>
      <c r="C20" s="280">
        <f t="shared" si="1"/>
        <v>24.75</v>
      </c>
      <c r="D20" s="4"/>
      <c r="E20" s="4">
        <f>2NoiseSources!B13</f>
        <v>93</v>
      </c>
    </row>
    <row r="21" spans="1:5" ht="12.75">
      <c r="A21" s="4" t="str">
        <f>2NoiseSources!A14</f>
        <v>Combine</v>
      </c>
      <c r="B21" s="260">
        <f t="shared" si="0"/>
        <v>65.25</v>
      </c>
      <c r="C21" s="280">
        <f t="shared" si="1"/>
        <v>24.75</v>
      </c>
      <c r="D21" s="4"/>
      <c r="E21" s="4">
        <f>2NoiseSources!B14</f>
        <v>90</v>
      </c>
    </row>
    <row r="22" spans="1:5" ht="12.75">
      <c r="A22" s="4" t="str">
        <f>2NoiseSources!A15</f>
        <v>Air compressor</v>
      </c>
      <c r="B22" s="260">
        <f t="shared" si="0"/>
        <v>61.25</v>
      </c>
      <c r="C22" s="280">
        <f t="shared" si="1"/>
        <v>24.75</v>
      </c>
      <c r="D22" s="4"/>
      <c r="E22" s="4">
        <f>2NoiseSources!B15</f>
        <v>86</v>
      </c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 t="s">
        <v>88</v>
      </c>
      <c r="B53" s="4"/>
      <c r="C53" s="4"/>
      <c r="D53" s="4"/>
      <c r="E53" s="4"/>
    </row>
    <row r="54" spans="2:5" ht="12.75">
      <c r="B54" s="4"/>
      <c r="C54" s="4"/>
      <c r="D54" s="4"/>
      <c r="E54" s="4"/>
    </row>
  </sheetData>
  <mergeCells count="2">
    <mergeCell ref="A1:C1"/>
    <mergeCell ref="B9:C9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E41"/>
  <sheetViews>
    <sheetView workbookViewId="0" topLeftCell="A1">
      <selection activeCell="D5" sqref="D5"/>
    </sheetView>
  </sheetViews>
  <sheetFormatPr defaultColWidth="9.140625" defaultRowHeight="12.75"/>
  <cols>
    <col min="2" max="2" width="40.7109375" style="0" customWidth="1"/>
    <col min="3" max="3" width="6.7109375" style="0" customWidth="1"/>
    <col min="4" max="4" width="11.7109375" style="0" customWidth="1"/>
    <col min="5" max="5" width="18.7109375" style="0" customWidth="1"/>
  </cols>
  <sheetData>
    <row r="1" spans="1:5" ht="12.75">
      <c r="A1" s="357" t="s">
        <v>278</v>
      </c>
      <c r="B1" s="357"/>
      <c r="C1" s="4"/>
      <c r="D1" s="4"/>
      <c r="E1" s="4"/>
    </row>
    <row r="2" spans="1:5" ht="12.75" hidden="1">
      <c r="A2" s="4"/>
      <c r="B2" s="19" t="s">
        <v>8</v>
      </c>
      <c r="C2" s="4"/>
      <c r="D2" s="55" t="s">
        <v>73</v>
      </c>
      <c r="E2" s="4"/>
    </row>
    <row r="3" spans="1:5" ht="12.75" hidden="1">
      <c r="A3" s="4"/>
      <c r="B3" s="4" t="s">
        <v>125</v>
      </c>
      <c r="C3" s="4" t="s">
        <v>93</v>
      </c>
      <c r="D3" s="116">
        <f>9ExposureHours!B2</f>
        <v>0.1</v>
      </c>
      <c r="E3" s="4"/>
    </row>
    <row r="4" spans="1:5" ht="12.75" hidden="1">
      <c r="A4" s="4"/>
      <c r="B4" s="4"/>
      <c r="C4" s="4"/>
      <c r="D4" s="4"/>
      <c r="E4" s="4"/>
    </row>
    <row r="5" spans="1:5" ht="12.75">
      <c r="A5" s="19" t="s">
        <v>260</v>
      </c>
      <c r="C5" s="4"/>
      <c r="D5" s="4"/>
      <c r="E5" s="4"/>
    </row>
    <row r="6" spans="2:5" ht="12.75">
      <c r="B6" s="65" t="s">
        <v>173</v>
      </c>
      <c r="C6" s="4"/>
      <c r="D6" s="4"/>
      <c r="E6" s="4"/>
    </row>
    <row r="7" spans="1:5" ht="12.75">
      <c r="A7" s="4"/>
      <c r="B7" s="144" t="s">
        <v>9</v>
      </c>
      <c r="C7" s="137" t="s">
        <v>27</v>
      </c>
      <c r="D7" s="38">
        <f>(D11)*(7ColateralInjuries!D$3)</f>
        <v>0.00027107772020725385</v>
      </c>
      <c r="E7" s="4"/>
    </row>
    <row r="8" spans="1:5" ht="12.75">
      <c r="A8" s="4"/>
      <c r="B8" s="144" t="s">
        <v>170</v>
      </c>
      <c r="C8" s="137" t="s">
        <v>4</v>
      </c>
      <c r="D8" s="38">
        <f>(D12)*(7ColateralInjuries!D$3)</f>
        <v>0.02294</v>
      </c>
      <c r="E8" s="4"/>
    </row>
    <row r="9" spans="1:5" ht="12.75">
      <c r="A9" s="4"/>
      <c r="B9" s="144" t="s">
        <v>12</v>
      </c>
      <c r="C9" s="137"/>
      <c r="D9" s="38">
        <f>1-D7-D8</f>
        <v>0.9767889222797927</v>
      </c>
      <c r="E9" s="4"/>
    </row>
    <row r="10" spans="2:5" ht="12.75">
      <c r="B10" s="65" t="s">
        <v>172</v>
      </c>
      <c r="C10" s="137"/>
      <c r="D10" s="4"/>
      <c r="E10" s="16"/>
    </row>
    <row r="11" spans="1:5" ht="12.75">
      <c r="A11" s="4"/>
      <c r="B11" s="144" t="s">
        <v>9</v>
      </c>
      <c r="C11" s="137" t="s">
        <v>245</v>
      </c>
      <c r="D11" s="48">
        <f>707/965000</f>
        <v>0.0007326424870466321</v>
      </c>
      <c r="E11" s="4"/>
    </row>
    <row r="12" spans="1:5" ht="12.75">
      <c r="A12" s="4"/>
      <c r="B12" s="144" t="s">
        <v>170</v>
      </c>
      <c r="C12" s="137" t="s">
        <v>246</v>
      </c>
      <c r="D12" s="48">
        <f>6.2/100</f>
        <v>0.062</v>
      </c>
      <c r="E12" s="4"/>
    </row>
    <row r="13" spans="1:5" ht="12.75">
      <c r="A13" s="4"/>
      <c r="B13" s="144" t="s">
        <v>12</v>
      </c>
      <c r="C13" s="4"/>
      <c r="D13" s="38">
        <f>1-D11-D12</f>
        <v>0.9372673575129533</v>
      </c>
      <c r="E13" s="4"/>
    </row>
    <row r="14" spans="1:5" ht="12.75">
      <c r="A14" s="4"/>
      <c r="B14" s="4"/>
      <c r="C14" s="4"/>
      <c r="D14" s="236"/>
      <c r="E14" s="4"/>
    </row>
    <row r="15" spans="1:5" ht="15" customHeight="1">
      <c r="A15" s="336" t="s">
        <v>279</v>
      </c>
      <c r="B15" s="336"/>
      <c r="C15" s="336"/>
      <c r="D15" s="336"/>
      <c r="E15" s="4"/>
    </row>
    <row r="16" spans="1:5" ht="12.75" customHeight="1">
      <c r="A16" s="336"/>
      <c r="B16" s="336"/>
      <c r="C16" s="336"/>
      <c r="D16" s="336"/>
      <c r="E16" s="4"/>
    </row>
    <row r="17" spans="1:5" ht="16.5" thickBot="1">
      <c r="A17" s="4"/>
      <c r="B17" s="312"/>
      <c r="C17" s="352" t="s">
        <v>286</v>
      </c>
      <c r="D17" s="352"/>
      <c r="E17" s="197" t="str">
        <f>IF(C17=C24,"Correct!","Try again.")</f>
        <v>Correct!</v>
      </c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 t="s">
        <v>261</v>
      </c>
      <c r="D21" s="4" t="s">
        <v>244</v>
      </c>
      <c r="E21" s="4"/>
    </row>
    <row r="22" spans="1:5" ht="12.75">
      <c r="A22" s="4"/>
      <c r="B22" s="4" t="s">
        <v>244</v>
      </c>
      <c r="C22" s="303">
        <f>D13</f>
        <v>0.9372673575129533</v>
      </c>
      <c r="D22" s="4"/>
      <c r="E22" s="4"/>
    </row>
    <row r="23" spans="1:5" ht="12.75">
      <c r="A23" s="4"/>
      <c r="C23" s="303">
        <f>1-D9</f>
        <v>0.02321107772020725</v>
      </c>
      <c r="D23" s="303">
        <f>1-D13</f>
        <v>0.06273264248704669</v>
      </c>
      <c r="E23" s="4"/>
    </row>
    <row r="24" spans="1:5" ht="12.75">
      <c r="A24" s="4"/>
      <c r="B24" s="4"/>
      <c r="C24" s="4" t="s">
        <v>286</v>
      </c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16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 t="s">
        <v>88</v>
      </c>
      <c r="B41" s="4"/>
      <c r="C41" s="4"/>
      <c r="D41" s="4"/>
      <c r="E41" s="4"/>
    </row>
  </sheetData>
  <mergeCells count="3">
    <mergeCell ref="A1:B1"/>
    <mergeCell ref="C17:D17"/>
    <mergeCell ref="A15:D16"/>
  </mergeCells>
  <printOptions/>
  <pageMargins left="0.82" right="0.75" top="1" bottom="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V42"/>
  <sheetViews>
    <sheetView zoomScale="70" zoomScaleNormal="70" workbookViewId="0" topLeftCell="A1">
      <selection activeCell="L33" sqref="L33"/>
    </sheetView>
  </sheetViews>
  <sheetFormatPr defaultColWidth="9.140625" defaultRowHeight="12.75"/>
  <cols>
    <col min="1" max="1" width="2.7109375" style="0" customWidth="1"/>
    <col min="2" max="3" width="1.7109375" style="0" customWidth="1"/>
    <col min="6" max="6" width="7.7109375" style="0" customWidth="1"/>
    <col min="7" max="7" width="2.7109375" style="0" customWidth="1"/>
    <col min="8" max="8" width="6.7109375" style="0" customWidth="1"/>
    <col min="11" max="11" width="15.7109375" style="0" customWidth="1"/>
    <col min="12" max="12" width="13.7109375" style="0" customWidth="1"/>
    <col min="13" max="13" width="2.7109375" style="0" customWidth="1"/>
    <col min="14" max="14" width="18.7109375" style="0" customWidth="1"/>
    <col min="15" max="15" width="12.7109375" style="0" customWidth="1"/>
    <col min="16" max="16" width="9.7109375" style="0" customWidth="1"/>
    <col min="17" max="17" width="18.7109375" style="0" customWidth="1"/>
    <col min="18" max="18" width="2.7109375" style="0" customWidth="1"/>
    <col min="19" max="19" width="7.7109375" style="0" customWidth="1"/>
    <col min="20" max="20" width="10.7109375" style="0" customWidth="1"/>
  </cols>
  <sheetData>
    <row r="1" spans="1:20" ht="15">
      <c r="A1" s="339" t="s">
        <v>176</v>
      </c>
      <c r="B1" s="339"/>
      <c r="C1" s="339"/>
      <c r="D1" s="339"/>
      <c r="E1" s="339"/>
      <c r="F1" s="339"/>
      <c r="G1" s="339"/>
      <c r="H1" s="64"/>
      <c r="I1" s="111"/>
      <c r="J1" s="111"/>
      <c r="K1" s="111"/>
      <c r="L1" s="111"/>
      <c r="M1" s="74"/>
      <c r="N1" s="153" t="s">
        <v>181</v>
      </c>
      <c r="O1" s="66"/>
      <c r="P1" s="66"/>
      <c r="Q1" s="15"/>
      <c r="R1" s="64"/>
      <c r="S1" s="15"/>
      <c r="T1" s="75"/>
    </row>
    <row r="2" spans="1:20" ht="15.75">
      <c r="A2" s="4"/>
      <c r="B2" s="4"/>
      <c r="C2" s="4"/>
      <c r="D2" s="14" t="s">
        <v>1</v>
      </c>
      <c r="E2" s="15"/>
      <c r="F2" s="14" t="s">
        <v>6</v>
      </c>
      <c r="G2" s="4"/>
      <c r="H2" s="4"/>
      <c r="I2" s="19" t="s">
        <v>7</v>
      </c>
      <c r="J2" s="4"/>
      <c r="K2" s="14" t="s">
        <v>2</v>
      </c>
      <c r="L2" s="4"/>
      <c r="M2" s="15"/>
      <c r="N2" s="367" t="s">
        <v>121</v>
      </c>
      <c r="O2" s="367"/>
      <c r="P2" s="367"/>
      <c r="Q2" s="367"/>
      <c r="R2" s="367"/>
      <c r="S2" s="367"/>
      <c r="T2" s="15"/>
    </row>
    <row r="3" spans="1:19" ht="16.5" thickBot="1">
      <c r="A3" s="4"/>
      <c r="B3" s="4"/>
      <c r="C3" s="4"/>
      <c r="D3" s="16"/>
      <c r="E3" s="4"/>
      <c r="F3" s="4"/>
      <c r="G3" s="4"/>
      <c r="H3" s="4"/>
      <c r="I3" s="4"/>
      <c r="J3" s="4"/>
      <c r="K3" s="4"/>
      <c r="L3" s="4"/>
      <c r="M3" s="76"/>
      <c r="N3" s="368" t="s">
        <v>102</v>
      </c>
      <c r="O3" s="368"/>
      <c r="P3" s="213">
        <v>1</v>
      </c>
      <c r="Q3" s="337" t="str">
        <f>IF(P3=1,"This is correct!","Try again.")</f>
        <v>This is correct!</v>
      </c>
      <c r="R3" s="337"/>
      <c r="S3" s="201"/>
    </row>
    <row r="4" spans="1:20" ht="15.75" thickBot="1">
      <c r="A4" s="4"/>
      <c r="B4" s="4"/>
      <c r="C4" s="4"/>
      <c r="D4" s="16"/>
      <c r="E4" s="4"/>
      <c r="F4" s="4"/>
      <c r="G4" s="4"/>
      <c r="H4" s="15"/>
      <c r="I4" s="17" t="s">
        <v>3</v>
      </c>
      <c r="J4" s="17"/>
      <c r="K4" s="165" t="s">
        <v>36</v>
      </c>
      <c r="L4" s="63">
        <f>F$11*I5</f>
        <v>2.7107772020725387E-05</v>
      </c>
      <c r="M4" s="70"/>
      <c r="N4" s="78"/>
      <c r="O4" s="70"/>
      <c r="P4" s="70"/>
      <c r="Q4" s="70"/>
      <c r="R4" s="70"/>
      <c r="S4" s="15"/>
      <c r="T4" s="15"/>
    </row>
    <row r="5" spans="1:20" ht="15" thickBot="1">
      <c r="A5" s="4"/>
      <c r="B5" s="4"/>
      <c r="C5" s="4"/>
      <c r="D5" s="16"/>
      <c r="E5" s="4"/>
      <c r="F5" s="4"/>
      <c r="G5" s="15"/>
      <c r="H5" s="15" t="s">
        <v>27</v>
      </c>
      <c r="I5" s="32">
        <f>('11Probabilities'!D7)</f>
        <v>0.00027107772020725385</v>
      </c>
      <c r="J5" s="4"/>
      <c r="K5" s="166" t="s">
        <v>30</v>
      </c>
      <c r="L5" s="4" t="s">
        <v>45</v>
      </c>
      <c r="M5" s="69"/>
      <c r="N5" s="79"/>
      <c r="O5" s="80"/>
      <c r="P5" s="80"/>
      <c r="Q5" s="81"/>
      <c r="R5" s="70"/>
      <c r="S5" s="15"/>
      <c r="T5" s="15"/>
    </row>
    <row r="6" spans="1:20" ht="15" thickBot="1">
      <c r="A6" s="4"/>
      <c r="B6" s="4"/>
      <c r="C6" s="4"/>
      <c r="D6" s="4"/>
      <c r="E6" s="4"/>
      <c r="F6" s="4"/>
      <c r="G6" s="4"/>
      <c r="H6" s="4"/>
      <c r="I6" s="11"/>
      <c r="J6" s="4"/>
      <c r="K6" s="4"/>
      <c r="L6" s="4"/>
      <c r="M6" s="82"/>
      <c r="N6" s="70"/>
      <c r="O6" s="70"/>
      <c r="P6" s="70"/>
      <c r="Q6" s="70"/>
      <c r="R6" s="70"/>
      <c r="S6" s="15"/>
      <c r="T6" s="15"/>
    </row>
    <row r="7" spans="1:20" ht="15" thickBot="1">
      <c r="A7" s="4"/>
      <c r="B7" s="4"/>
      <c r="C7" s="4"/>
      <c r="D7" s="4"/>
      <c r="E7" s="4"/>
      <c r="F7" s="4"/>
      <c r="G7" s="4"/>
      <c r="H7" s="4"/>
      <c r="I7" s="12" t="s">
        <v>177</v>
      </c>
      <c r="J7" s="17"/>
      <c r="K7" s="181" t="s">
        <v>31</v>
      </c>
      <c r="L7" s="63">
        <f>F$11*I8</f>
        <v>0.002294</v>
      </c>
      <c r="M7" s="82"/>
      <c r="N7" s="70"/>
      <c r="O7" s="70"/>
      <c r="P7" s="70"/>
      <c r="Q7" s="70"/>
      <c r="R7" s="70"/>
      <c r="S7" s="15"/>
      <c r="T7" s="15"/>
    </row>
    <row r="8" spans="1:20" ht="15" thickBot="1">
      <c r="A8" s="4"/>
      <c r="B8" s="4"/>
      <c r="C8" s="4"/>
      <c r="D8" s="4"/>
      <c r="E8" s="4"/>
      <c r="F8" s="4"/>
      <c r="G8" s="4"/>
      <c r="H8" s="4" t="s">
        <v>4</v>
      </c>
      <c r="I8" s="31">
        <f>('11Probabilities'!D8)</f>
        <v>0.02294</v>
      </c>
      <c r="J8" s="4"/>
      <c r="K8" s="182" t="s">
        <v>33</v>
      </c>
      <c r="L8" s="4" t="s">
        <v>46</v>
      </c>
      <c r="M8" s="69"/>
      <c r="N8" s="79"/>
      <c r="O8" s="80"/>
      <c r="P8" s="80"/>
      <c r="Q8" s="81"/>
      <c r="R8" s="70"/>
      <c r="S8" s="15"/>
      <c r="T8" s="15"/>
    </row>
    <row r="9" spans="1:20" ht="15" thickBot="1">
      <c r="A9" s="4"/>
      <c r="B9" s="4"/>
      <c r="C9" s="4"/>
      <c r="D9" s="4"/>
      <c r="E9" s="4"/>
      <c r="F9" s="4"/>
      <c r="G9" s="4"/>
      <c r="H9" s="4"/>
      <c r="I9" s="11"/>
      <c r="J9" s="4"/>
      <c r="K9" s="4"/>
      <c r="L9" s="4"/>
      <c r="M9" s="82"/>
      <c r="N9" s="70"/>
      <c r="O9" s="83"/>
      <c r="P9" s="83"/>
      <c r="Q9" s="70"/>
      <c r="R9" s="70"/>
      <c r="S9" s="15"/>
      <c r="T9" s="15"/>
    </row>
    <row r="10" spans="1:20" ht="15" thickBot="1">
      <c r="A10" s="4"/>
      <c r="B10" s="4"/>
      <c r="C10" s="4"/>
      <c r="D10" s="4"/>
      <c r="E10" s="4"/>
      <c r="F10" s="18" t="s">
        <v>174</v>
      </c>
      <c r="G10" s="17"/>
      <c r="H10" s="17"/>
      <c r="I10" s="23"/>
      <c r="J10" s="17"/>
      <c r="K10" s="100" t="s">
        <v>32</v>
      </c>
      <c r="L10" s="63">
        <f>F$11*I11</f>
        <v>0.010000000000000002</v>
      </c>
      <c r="M10" s="82"/>
      <c r="N10" s="70"/>
      <c r="O10" s="83"/>
      <c r="P10" s="83"/>
      <c r="Q10" s="70"/>
      <c r="R10" s="70"/>
      <c r="S10" s="15"/>
      <c r="T10" s="15"/>
    </row>
    <row r="11" spans="1:20" ht="15" thickBot="1">
      <c r="A11" s="4"/>
      <c r="B11" s="4"/>
      <c r="C11" s="4"/>
      <c r="D11" s="15"/>
      <c r="E11" s="35" t="s">
        <v>93</v>
      </c>
      <c r="F11" s="30">
        <f>9ExposureHours!B2</f>
        <v>0.1</v>
      </c>
      <c r="G11" s="4"/>
      <c r="H11" s="4" t="s">
        <v>28</v>
      </c>
      <c r="I11" s="31">
        <v>0.1</v>
      </c>
      <c r="J11" s="33"/>
      <c r="K11" s="101" t="s">
        <v>34</v>
      </c>
      <c r="L11" s="4" t="s">
        <v>70</v>
      </c>
      <c r="M11" s="69"/>
      <c r="N11" s="79"/>
      <c r="O11" s="80"/>
      <c r="P11" s="80"/>
      <c r="Q11" s="70"/>
      <c r="R11" s="70"/>
      <c r="S11" s="15"/>
      <c r="T11" s="15"/>
    </row>
    <row r="12" spans="1:20" ht="15" thickBot="1">
      <c r="A12" s="4"/>
      <c r="B12" s="4"/>
      <c r="C12" s="4"/>
      <c r="D12" s="4"/>
      <c r="E12" s="4"/>
      <c r="F12" s="11"/>
      <c r="G12" s="15"/>
      <c r="H12" s="4"/>
      <c r="I12" s="11"/>
      <c r="J12" s="4"/>
      <c r="K12" s="4"/>
      <c r="L12" s="4"/>
      <c r="M12" s="82"/>
      <c r="N12" s="70"/>
      <c r="O12" s="83"/>
      <c r="P12" s="83"/>
      <c r="Q12" s="70"/>
      <c r="R12" s="70"/>
      <c r="S12" s="15"/>
      <c r="T12" s="15"/>
    </row>
    <row r="13" spans="1:22" ht="15" thickBot="1">
      <c r="A13" s="4"/>
      <c r="B13" s="4"/>
      <c r="C13" s="4"/>
      <c r="D13" s="4"/>
      <c r="E13" s="4"/>
      <c r="F13" s="11"/>
      <c r="G13" s="15"/>
      <c r="H13" s="4"/>
      <c r="I13" s="12"/>
      <c r="J13" s="17"/>
      <c r="K13" s="98" t="s">
        <v>14</v>
      </c>
      <c r="L13" s="63">
        <f>F$11*I14</f>
        <v>0</v>
      </c>
      <c r="M13" s="82"/>
      <c r="N13" s="70"/>
      <c r="O13" s="83"/>
      <c r="P13" s="83"/>
      <c r="Q13" s="70"/>
      <c r="R13" s="70"/>
      <c r="S13" s="15"/>
      <c r="T13" s="15"/>
      <c r="V13" s="10"/>
    </row>
    <row r="14" spans="1:20" ht="15" thickBot="1">
      <c r="A14" s="4"/>
      <c r="B14" s="4"/>
      <c r="C14" s="4"/>
      <c r="D14" s="4"/>
      <c r="E14" s="4"/>
      <c r="F14" s="11"/>
      <c r="G14" s="15"/>
      <c r="H14" s="4" t="s">
        <v>29</v>
      </c>
      <c r="I14" s="31"/>
      <c r="J14" s="22"/>
      <c r="K14" s="99" t="s">
        <v>35</v>
      </c>
      <c r="L14" s="4" t="s">
        <v>71</v>
      </c>
      <c r="M14" s="69"/>
      <c r="N14" s="79"/>
      <c r="O14" s="80"/>
      <c r="P14" s="80"/>
      <c r="Q14" s="70"/>
      <c r="R14" s="70"/>
      <c r="S14" s="15"/>
      <c r="T14" s="15"/>
    </row>
    <row r="15" spans="1:20" ht="15" thickBot="1">
      <c r="A15" s="4"/>
      <c r="B15" s="4"/>
      <c r="C15" s="17"/>
      <c r="D15" s="39" t="s">
        <v>127</v>
      </c>
      <c r="E15" s="17"/>
      <c r="F15" s="11"/>
      <c r="G15" s="15"/>
      <c r="H15" s="4"/>
      <c r="I15" s="11"/>
      <c r="J15" s="4"/>
      <c r="K15" s="4"/>
      <c r="L15" s="4"/>
      <c r="M15" s="84"/>
      <c r="N15" s="85"/>
      <c r="O15" s="70"/>
      <c r="P15" s="15" t="s">
        <v>74</v>
      </c>
      <c r="Q15" s="86" t="s">
        <v>47</v>
      </c>
      <c r="R15" s="70" t="s">
        <v>0</v>
      </c>
      <c r="T15" s="15"/>
    </row>
    <row r="16" spans="1:20" ht="15" thickBot="1">
      <c r="A16" s="4"/>
      <c r="B16" s="4"/>
      <c r="C16" s="11"/>
      <c r="D16" s="4"/>
      <c r="E16" s="4"/>
      <c r="F16" s="11"/>
      <c r="G16" s="15"/>
      <c r="H16" s="4"/>
      <c r="I16" s="12" t="s">
        <v>48</v>
      </c>
      <c r="J16" s="17"/>
      <c r="K16" s="20" t="s">
        <v>5</v>
      </c>
      <c r="L16" s="63"/>
      <c r="M16" s="69"/>
      <c r="N16" s="70"/>
      <c r="O16" s="70" t="s">
        <v>45</v>
      </c>
      <c r="P16" s="97">
        <f>R16-Q16</f>
        <v>4.615647668393784</v>
      </c>
      <c r="Q16" s="71">
        <f>100000*L4</f>
        <v>2.7107772020725385</v>
      </c>
      <c r="R16" s="70">
        <f>100000*L27</f>
        <v>7.326424870466322</v>
      </c>
      <c r="T16" s="15"/>
    </row>
    <row r="17" spans="1:20" ht="15" thickBot="1">
      <c r="A17" s="4"/>
      <c r="B17" s="4"/>
      <c r="C17" s="11"/>
      <c r="D17" s="4"/>
      <c r="E17" s="4"/>
      <c r="F17" s="11"/>
      <c r="G17" s="37" t="s">
        <v>57</v>
      </c>
      <c r="H17" s="37"/>
      <c r="I17" s="34">
        <f>1-I5-I8-I11-I14</f>
        <v>0.8767889222797928</v>
      </c>
      <c r="J17" s="4"/>
      <c r="K17" s="21"/>
      <c r="L17" s="4"/>
      <c r="M17" s="69"/>
      <c r="N17" s="70"/>
      <c r="O17" s="70" t="s">
        <v>178</v>
      </c>
      <c r="P17" s="97">
        <f>R17-Q17</f>
        <v>390.60000000000014</v>
      </c>
      <c r="Q17" s="71">
        <f>100000*L7</f>
        <v>229.4</v>
      </c>
      <c r="R17" s="70">
        <f>100000*L30</f>
        <v>620.0000000000001</v>
      </c>
      <c r="T17" s="15"/>
    </row>
    <row r="18" spans="1:20" ht="15" thickBot="1">
      <c r="A18" s="4"/>
      <c r="B18" s="4"/>
      <c r="C18" s="11"/>
      <c r="D18" s="4"/>
      <c r="E18" s="4"/>
      <c r="F18" s="11"/>
      <c r="G18" s="15"/>
      <c r="H18" s="4"/>
      <c r="I18" s="4"/>
      <c r="J18" s="4"/>
      <c r="K18" s="4"/>
      <c r="L18" s="4"/>
      <c r="M18" s="69"/>
      <c r="N18" s="70"/>
      <c r="O18" s="70"/>
      <c r="P18" s="97"/>
      <c r="Q18" s="71"/>
      <c r="R18" s="70"/>
      <c r="T18" s="15"/>
    </row>
    <row r="19" spans="1:20" ht="15" thickBot="1">
      <c r="A19" s="4"/>
      <c r="B19" s="4"/>
      <c r="C19" s="11"/>
      <c r="D19" s="4"/>
      <c r="F19" s="24" t="s">
        <v>175</v>
      </c>
      <c r="G19" s="18"/>
      <c r="H19" s="17"/>
      <c r="I19" s="17"/>
      <c r="J19" s="17"/>
      <c r="K19" s="20" t="s">
        <v>5</v>
      </c>
      <c r="L19" s="4"/>
      <c r="M19" s="69"/>
      <c r="N19" s="70"/>
      <c r="O19" s="70"/>
      <c r="P19" s="97"/>
      <c r="Q19" s="71"/>
      <c r="R19" s="70"/>
      <c r="T19" s="15"/>
    </row>
    <row r="20" spans="1:20" ht="15" thickBot="1">
      <c r="A20" s="4"/>
      <c r="B20" s="4"/>
      <c r="C20" s="11"/>
      <c r="D20" s="4"/>
      <c r="E20" s="35" t="s">
        <v>94</v>
      </c>
      <c r="F20" s="29">
        <f>1-F11</f>
        <v>0.9</v>
      </c>
      <c r="G20" s="4"/>
      <c r="H20" s="15"/>
      <c r="I20" s="15"/>
      <c r="J20" s="4"/>
      <c r="K20" s="21"/>
      <c r="L20" s="4"/>
      <c r="M20" s="82"/>
      <c r="N20" s="15"/>
      <c r="O20" s="15"/>
      <c r="Q20" s="15"/>
      <c r="R20" s="70"/>
      <c r="S20" s="15"/>
      <c r="T20" s="15"/>
    </row>
    <row r="21" spans="1:20" ht="15" thickBot="1">
      <c r="A21" s="4"/>
      <c r="B21" s="4"/>
      <c r="C21" s="12"/>
      <c r="E21" s="15"/>
      <c r="F21" s="15"/>
      <c r="G21" s="15"/>
      <c r="H21" s="15"/>
      <c r="I21" s="15"/>
      <c r="J21" s="4"/>
      <c r="K21" s="4"/>
      <c r="L21" s="4"/>
      <c r="M21" s="82"/>
      <c r="N21" s="70"/>
      <c r="O21" s="70"/>
      <c r="P21" s="70"/>
      <c r="Q21" s="70"/>
      <c r="R21" s="70"/>
      <c r="S21" s="87"/>
      <c r="T21" s="87"/>
    </row>
    <row r="22" spans="2:20" ht="16.5" thickBot="1">
      <c r="B22" s="2"/>
      <c r="C22" s="3"/>
      <c r="D22" s="364" t="s">
        <v>116</v>
      </c>
      <c r="E22" s="365"/>
      <c r="F22" s="365"/>
      <c r="G22" s="365"/>
      <c r="H22" s="365"/>
      <c r="I22" s="365"/>
      <c r="J22" s="365"/>
      <c r="K22" s="365"/>
      <c r="L22" s="365"/>
      <c r="N22" s="70"/>
      <c r="O22" s="70"/>
      <c r="P22" s="70"/>
      <c r="Q22" s="70"/>
      <c r="R22" s="70"/>
      <c r="S22" s="87"/>
      <c r="T22" s="87"/>
    </row>
    <row r="23" spans="1:20" ht="15.75" thickBot="1">
      <c r="A23" s="4"/>
      <c r="B23" s="4"/>
      <c r="C23" s="13"/>
      <c r="D23" s="366" t="s">
        <v>128</v>
      </c>
      <c r="E23" s="366"/>
      <c r="F23" s="212" t="b">
        <f>EXACT(D23,"with protection")</f>
        <v>1</v>
      </c>
      <c r="G23" s="208"/>
      <c r="H23" s="366" t="s">
        <v>129</v>
      </c>
      <c r="I23" s="366"/>
      <c r="J23" s="209" t="b">
        <f>EXACT(H23,"without protection")</f>
        <v>0</v>
      </c>
      <c r="K23" s="210"/>
      <c r="L23" s="210"/>
      <c r="M23" s="82"/>
      <c r="N23" s="70"/>
      <c r="O23" s="70"/>
      <c r="P23" s="70"/>
      <c r="Q23" s="70"/>
      <c r="R23" s="70"/>
      <c r="S23" s="87"/>
      <c r="T23" s="87"/>
    </row>
    <row r="24" spans="1:20" ht="15" thickBot="1">
      <c r="A24" s="4"/>
      <c r="B24" s="4"/>
      <c r="C24" s="11"/>
      <c r="D24" s="4"/>
      <c r="E24" s="15"/>
      <c r="F24" s="18" t="s">
        <v>175</v>
      </c>
      <c r="G24" s="18"/>
      <c r="H24" s="17"/>
      <c r="I24" s="17"/>
      <c r="J24" s="17"/>
      <c r="K24" s="20" t="s">
        <v>5</v>
      </c>
      <c r="L24" s="4"/>
      <c r="M24" s="88"/>
      <c r="N24" s="70"/>
      <c r="O24" s="70"/>
      <c r="P24" s="70"/>
      <c r="Q24" s="70"/>
      <c r="R24" s="70"/>
      <c r="S24" s="87"/>
      <c r="T24" s="87"/>
    </row>
    <row r="25" spans="1:20" ht="16.5" thickBot="1">
      <c r="A25" s="4"/>
      <c r="B25" s="4"/>
      <c r="C25" s="11"/>
      <c r="D25" s="4"/>
      <c r="E25" s="35" t="s">
        <v>95</v>
      </c>
      <c r="F25" s="30">
        <f>1-F34</f>
        <v>0.9</v>
      </c>
      <c r="G25" s="4"/>
      <c r="H25" s="15"/>
      <c r="I25" s="15"/>
      <c r="J25" s="4"/>
      <c r="K25" s="21"/>
      <c r="L25" s="4"/>
      <c r="M25" s="89"/>
      <c r="N25" s="363"/>
      <c r="O25" s="363"/>
      <c r="P25" s="66"/>
      <c r="Q25" s="81"/>
      <c r="R25" s="70"/>
      <c r="S25" s="15"/>
      <c r="T25" s="15"/>
    </row>
    <row r="26" spans="1:20" ht="15.75" thickBot="1">
      <c r="A26" s="4"/>
      <c r="B26" s="4"/>
      <c r="C26" s="11"/>
      <c r="D26" s="4"/>
      <c r="E26" s="15"/>
      <c r="F26" s="11"/>
      <c r="G26" s="4"/>
      <c r="H26" s="4"/>
      <c r="I26" s="4"/>
      <c r="J26" s="4"/>
      <c r="K26" s="4"/>
      <c r="L26" s="4"/>
      <c r="M26" s="90"/>
      <c r="N26" s="67"/>
      <c r="O26" s="67"/>
      <c r="P26" s="67"/>
      <c r="Q26" s="77"/>
      <c r="R26" s="70"/>
      <c r="S26" s="15"/>
      <c r="T26" s="15"/>
    </row>
    <row r="27" spans="1:20" ht="16.5" thickBot="1">
      <c r="A27" s="4"/>
      <c r="B27" s="4"/>
      <c r="C27" s="11"/>
      <c r="D27" s="4"/>
      <c r="E27" s="4"/>
      <c r="F27" s="11"/>
      <c r="G27" s="15"/>
      <c r="H27" s="15"/>
      <c r="I27" s="17" t="s">
        <v>3</v>
      </c>
      <c r="J27" s="17"/>
      <c r="K27" s="165" t="s">
        <v>36</v>
      </c>
      <c r="L27" s="63">
        <f>F$34*I28</f>
        <v>7.326424870466322E-05</v>
      </c>
      <c r="M27" s="91"/>
      <c r="N27" s="164" t="s">
        <v>84</v>
      </c>
      <c r="O27" s="164"/>
      <c r="P27" s="164"/>
      <c r="Q27" s="164"/>
      <c r="R27" s="164"/>
      <c r="S27" s="15"/>
      <c r="T27" s="15"/>
    </row>
    <row r="28" spans="1:20" ht="16.5" thickBot="1">
      <c r="A28" s="4"/>
      <c r="B28" s="4"/>
      <c r="C28" s="11"/>
      <c r="D28" s="4"/>
      <c r="E28" s="4"/>
      <c r="F28" s="11"/>
      <c r="G28" s="15"/>
      <c r="H28" s="15" t="s">
        <v>42</v>
      </c>
      <c r="I28" s="32">
        <f>('11Probabilities'!D11)</f>
        <v>0.0007326424870466321</v>
      </c>
      <c r="J28" s="4"/>
      <c r="K28" s="166" t="s">
        <v>30</v>
      </c>
      <c r="L28" s="4" t="s">
        <v>45</v>
      </c>
      <c r="M28" s="92"/>
      <c r="N28" s="76" t="s">
        <v>75</v>
      </c>
      <c r="O28" s="102" t="s">
        <v>179</v>
      </c>
      <c r="P28" s="102" t="s">
        <v>180</v>
      </c>
      <c r="Q28" s="102" t="s">
        <v>85</v>
      </c>
      <c r="R28" s="68"/>
      <c r="S28" s="15"/>
      <c r="T28" s="15"/>
    </row>
    <row r="29" spans="1:20" ht="15.75" thickBot="1">
      <c r="A29" s="4"/>
      <c r="B29" s="4"/>
      <c r="C29" s="12"/>
      <c r="D29" s="40" t="s">
        <v>130</v>
      </c>
      <c r="E29" s="17"/>
      <c r="F29" s="11"/>
      <c r="G29" s="15"/>
      <c r="H29" s="15"/>
      <c r="I29" s="11"/>
      <c r="J29" s="4"/>
      <c r="K29" s="4"/>
      <c r="L29" s="4"/>
      <c r="M29" s="91"/>
      <c r="N29" s="167" t="s">
        <v>45</v>
      </c>
      <c r="O29" s="168">
        <f>100000*L4</f>
        <v>2.7107772020725385</v>
      </c>
      <c r="P29" s="169">
        <f>100000*L27</f>
        <v>7.326424870466322</v>
      </c>
      <c r="Q29" s="168">
        <f>P29-O29</f>
        <v>4.615647668393784</v>
      </c>
      <c r="R29" s="68"/>
      <c r="S29" s="15"/>
      <c r="T29" s="15"/>
    </row>
    <row r="30" spans="1:20" ht="15.75" thickBot="1">
      <c r="A30" s="4"/>
      <c r="B30" s="4"/>
      <c r="C30" s="4"/>
      <c r="D30" s="4"/>
      <c r="E30" s="4"/>
      <c r="F30" s="11"/>
      <c r="G30" s="15"/>
      <c r="H30" s="15"/>
      <c r="I30" s="12" t="s">
        <v>177</v>
      </c>
      <c r="J30" s="17"/>
      <c r="K30" s="181" t="s">
        <v>31</v>
      </c>
      <c r="L30" s="63">
        <f>F$34*I31</f>
        <v>0.006200000000000001</v>
      </c>
      <c r="M30" s="91"/>
      <c r="N30" s="183" t="s">
        <v>46</v>
      </c>
      <c r="O30" s="184">
        <f>100000*L7</f>
        <v>229.4</v>
      </c>
      <c r="P30" s="185">
        <f>100000*L30</f>
        <v>620.0000000000001</v>
      </c>
      <c r="Q30" s="184">
        <f>P30-O30</f>
        <v>390.60000000000014</v>
      </c>
      <c r="R30" s="68"/>
      <c r="S30" s="15"/>
      <c r="T30" s="15"/>
    </row>
    <row r="31" spans="1:20" ht="16.5" thickBot="1">
      <c r="A31" s="4"/>
      <c r="B31" s="4"/>
      <c r="C31" s="4"/>
      <c r="D31" s="4"/>
      <c r="E31" s="4"/>
      <c r="F31" s="11"/>
      <c r="G31" s="15"/>
      <c r="H31" s="15" t="s">
        <v>41</v>
      </c>
      <c r="I31" s="31">
        <f>('11Probabilities'!D12)</f>
        <v>0.062</v>
      </c>
      <c r="J31" s="4"/>
      <c r="K31" s="182" t="s">
        <v>33</v>
      </c>
      <c r="L31" s="4" t="s">
        <v>46</v>
      </c>
      <c r="M31" s="73"/>
      <c r="N31" s="106" t="s">
        <v>233</v>
      </c>
      <c r="O31" s="107">
        <f>100000*L10</f>
        <v>1000.0000000000002</v>
      </c>
      <c r="P31" s="107">
        <f>100000*L33</f>
        <v>9000.000000000002</v>
      </c>
      <c r="Q31" s="107">
        <f>P31-O31</f>
        <v>8000.000000000002</v>
      </c>
      <c r="R31" s="68"/>
      <c r="S31" s="15"/>
      <c r="T31" s="15"/>
    </row>
    <row r="32" spans="1:20" ht="15.75" thickBot="1">
      <c r="A32" s="4"/>
      <c r="B32" s="4"/>
      <c r="C32" s="4"/>
      <c r="D32" s="4"/>
      <c r="E32" s="4"/>
      <c r="F32" s="11"/>
      <c r="G32" s="4"/>
      <c r="H32" s="15"/>
      <c r="I32" s="11"/>
      <c r="J32" s="4"/>
      <c r="K32" s="4"/>
      <c r="L32" s="4"/>
      <c r="M32" s="91"/>
      <c r="N32" s="103" t="s">
        <v>71</v>
      </c>
      <c r="O32" s="104">
        <f>100000*L13</f>
        <v>0</v>
      </c>
      <c r="P32" s="105"/>
      <c r="Q32" s="104">
        <f>P32-O32</f>
        <v>0</v>
      </c>
      <c r="R32" s="68"/>
      <c r="S32" s="15"/>
      <c r="T32" s="15"/>
    </row>
    <row r="33" spans="1:20" ht="15.75" thickBot="1">
      <c r="A33" s="4"/>
      <c r="B33" s="4"/>
      <c r="C33" s="4"/>
      <c r="D33" s="4"/>
      <c r="E33" s="4"/>
      <c r="F33" s="24" t="s">
        <v>174</v>
      </c>
      <c r="G33" s="17"/>
      <c r="H33" s="17"/>
      <c r="I33" s="12"/>
      <c r="J33" s="17"/>
      <c r="K33" s="100" t="s">
        <v>32</v>
      </c>
      <c r="L33" s="63">
        <f>F$34*I34</f>
        <v>0.09000000000000001</v>
      </c>
      <c r="M33" s="91"/>
      <c r="N33" s="170" t="s">
        <v>5</v>
      </c>
      <c r="O33" s="171">
        <v>0</v>
      </c>
      <c r="P33" s="171">
        <v>0</v>
      </c>
      <c r="Q33" s="171">
        <v>0</v>
      </c>
      <c r="R33" s="15"/>
      <c r="S33" s="15"/>
      <c r="T33" s="15"/>
    </row>
    <row r="34" spans="1:20" ht="16.5" thickBot="1">
      <c r="A34" s="4"/>
      <c r="B34" s="4"/>
      <c r="C34" s="4"/>
      <c r="D34" s="4"/>
      <c r="E34" s="35" t="s">
        <v>96</v>
      </c>
      <c r="F34" s="30">
        <f>F11</f>
        <v>0.1</v>
      </c>
      <c r="G34" s="15"/>
      <c r="H34" s="15" t="s">
        <v>44</v>
      </c>
      <c r="I34" s="31">
        <f>1-I11</f>
        <v>0.9</v>
      </c>
      <c r="J34" s="4"/>
      <c r="K34" s="101" t="s">
        <v>34</v>
      </c>
      <c r="L34" s="4" t="s">
        <v>70</v>
      </c>
      <c r="M34" s="73"/>
      <c r="N34" s="109" t="s">
        <v>16</v>
      </c>
      <c r="O34" s="110">
        <f>SUM(O29:O32)</f>
        <v>1232.1107772020728</v>
      </c>
      <c r="P34" s="110">
        <f>SUM(P29:P32)</f>
        <v>9627.326424870469</v>
      </c>
      <c r="Q34" s="110">
        <f>SUM(Q29:Q32)</f>
        <v>8395.215647668396</v>
      </c>
      <c r="R34" s="78" t="s">
        <v>86</v>
      </c>
      <c r="S34" s="15"/>
      <c r="T34" s="15"/>
    </row>
    <row r="35" spans="1:20" ht="16.5" thickBot="1">
      <c r="A35" s="4"/>
      <c r="B35" s="4"/>
      <c r="C35" s="4"/>
      <c r="D35" s="4"/>
      <c r="E35" s="4"/>
      <c r="F35" s="1"/>
      <c r="G35" s="15"/>
      <c r="H35" s="15"/>
      <c r="I35" s="11"/>
      <c r="J35" s="4"/>
      <c r="K35" s="4"/>
      <c r="L35" s="4"/>
      <c r="M35" s="91"/>
      <c r="N35" s="4"/>
      <c r="O35" s="198"/>
      <c r="P35" s="198"/>
      <c r="Q35" s="199"/>
      <c r="R35" s="70"/>
      <c r="S35" s="200" t="s">
        <v>87</v>
      </c>
      <c r="T35" s="163"/>
    </row>
    <row r="36" spans="1:20" ht="16.5" thickBot="1">
      <c r="A36" s="4"/>
      <c r="B36" s="4"/>
      <c r="C36" s="4"/>
      <c r="D36" s="4"/>
      <c r="E36" s="4"/>
      <c r="F36" s="15"/>
      <c r="G36" s="15"/>
      <c r="H36" s="15"/>
      <c r="I36" s="12"/>
      <c r="J36" s="17"/>
      <c r="K36" s="98" t="s">
        <v>14</v>
      </c>
      <c r="L36" s="63">
        <f>F$34*I37</f>
        <v>0</v>
      </c>
      <c r="M36" s="91"/>
      <c r="N36" s="211" t="s">
        <v>114</v>
      </c>
      <c r="O36" s="4"/>
      <c r="P36" s="4"/>
      <c r="Q36" s="4"/>
      <c r="R36" s="4"/>
      <c r="S36" s="4"/>
      <c r="T36" s="4"/>
    </row>
    <row r="37" spans="1:20" ht="16.5" thickBot="1">
      <c r="A37" s="4"/>
      <c r="B37" s="4"/>
      <c r="C37" s="4"/>
      <c r="D37" s="4"/>
      <c r="E37" s="4"/>
      <c r="F37" s="15"/>
      <c r="G37" s="15"/>
      <c r="H37" s="15" t="s">
        <v>43</v>
      </c>
      <c r="I37" s="31"/>
      <c r="J37" s="4"/>
      <c r="K37" s="99" t="s">
        <v>35</v>
      </c>
      <c r="L37" s="4" t="s">
        <v>71</v>
      </c>
      <c r="M37" s="73"/>
      <c r="N37" s="205" t="s">
        <v>103</v>
      </c>
      <c r="O37" s="80"/>
      <c r="P37" s="80"/>
      <c r="Q37" s="70"/>
      <c r="R37" s="70"/>
      <c r="S37" s="93"/>
      <c r="T37" s="93"/>
    </row>
    <row r="38" spans="1:20" ht="16.5" thickBot="1">
      <c r="A38" s="4"/>
      <c r="B38" s="4"/>
      <c r="C38" s="4"/>
      <c r="D38" s="4"/>
      <c r="E38" s="4"/>
      <c r="F38" s="15"/>
      <c r="G38" s="15"/>
      <c r="H38" s="4"/>
      <c r="I38" s="11"/>
      <c r="J38" s="4"/>
      <c r="K38" s="4"/>
      <c r="L38" s="4"/>
      <c r="M38" s="73"/>
      <c r="N38" s="205" t="s">
        <v>104</v>
      </c>
      <c r="O38" s="70"/>
      <c r="P38" s="70"/>
      <c r="Q38" s="196" t="s">
        <v>105</v>
      </c>
      <c r="R38" s="70"/>
      <c r="S38" s="202" t="b">
        <f>EXACT(Q38,"yes")</f>
        <v>1</v>
      </c>
      <c r="T38" s="94"/>
    </row>
    <row r="39" spans="1:20" ht="16.5" thickBot="1">
      <c r="A39" s="4"/>
      <c r="B39" s="4"/>
      <c r="C39" s="4"/>
      <c r="D39" s="4"/>
      <c r="E39" s="4"/>
      <c r="F39" s="15"/>
      <c r="G39" s="15"/>
      <c r="H39" s="4"/>
      <c r="I39" s="12" t="s">
        <v>12</v>
      </c>
      <c r="J39" s="17"/>
      <c r="K39" s="20" t="s">
        <v>5</v>
      </c>
      <c r="L39" s="4"/>
      <c r="M39" s="95"/>
      <c r="N39" s="211" t="s">
        <v>115</v>
      </c>
      <c r="O39" s="70"/>
      <c r="P39" s="70"/>
      <c r="Q39" s="71"/>
      <c r="R39" s="70"/>
      <c r="S39" s="72"/>
      <c r="T39" s="96"/>
    </row>
    <row r="40" spans="1:20" ht="17.25" thickBot="1">
      <c r="A40" s="4"/>
      <c r="B40" s="4"/>
      <c r="C40" s="4"/>
      <c r="D40" s="4"/>
      <c r="F40" s="15"/>
      <c r="G40" s="340" t="s">
        <v>56</v>
      </c>
      <c r="H40" s="340"/>
      <c r="I40" s="34">
        <f>1-I28-I31-I34-I37</f>
        <v>0.03726735751295329</v>
      </c>
      <c r="J40" s="4"/>
      <c r="K40" s="21"/>
      <c r="L40" s="4"/>
      <c r="M40" s="73"/>
      <c r="N40" s="206" t="s">
        <v>106</v>
      </c>
      <c r="O40" s="70"/>
      <c r="P40" s="70"/>
      <c r="Q40" s="71"/>
      <c r="R40" s="70"/>
      <c r="S40" s="72"/>
      <c r="T40" s="96"/>
    </row>
    <row r="41" spans="1:20" ht="16.5" thickBot="1">
      <c r="A41" s="4"/>
      <c r="B41" t="s">
        <v>76</v>
      </c>
      <c r="C41" s="4"/>
      <c r="D41" s="4"/>
      <c r="E41" s="4"/>
      <c r="F41" s="15"/>
      <c r="G41" s="15"/>
      <c r="H41" s="4"/>
      <c r="J41" s="4"/>
      <c r="K41" s="4"/>
      <c r="L41" s="4"/>
      <c r="M41" s="73"/>
      <c r="N41" s="70"/>
      <c r="O41" s="70"/>
      <c r="P41" s="70"/>
      <c r="Q41" s="204">
        <v>2646.99</v>
      </c>
      <c r="R41" s="70"/>
      <c r="S41" s="338" t="str">
        <f>IF(AND(Q41&lt;Q34+0.5,Q41&gt;Q34-0.5),"This is Correct!","Try again.")</f>
        <v>Try again.</v>
      </c>
      <c r="T41" s="338"/>
    </row>
    <row r="42" spans="1:20" ht="15.75">
      <c r="A42" s="4"/>
      <c r="B42" s="4"/>
      <c r="C42" t="s">
        <v>88</v>
      </c>
      <c r="D42" s="4"/>
      <c r="E42" s="4"/>
      <c r="F42" s="4"/>
      <c r="G42" s="4"/>
      <c r="H42" s="4"/>
      <c r="I42" s="4"/>
      <c r="J42" s="4"/>
      <c r="K42" s="4"/>
      <c r="L42" s="4"/>
      <c r="M42" s="73"/>
      <c r="N42" s="70"/>
      <c r="O42" s="70"/>
      <c r="P42" s="70"/>
      <c r="Q42" s="71"/>
      <c r="R42" s="70"/>
      <c r="S42" s="72"/>
      <c r="T42" s="96"/>
    </row>
  </sheetData>
  <mergeCells count="10">
    <mergeCell ref="Q3:R3"/>
    <mergeCell ref="S41:T41"/>
    <mergeCell ref="A1:G1"/>
    <mergeCell ref="G40:H40"/>
    <mergeCell ref="N25:O25"/>
    <mergeCell ref="D22:L22"/>
    <mergeCell ref="D23:E23"/>
    <mergeCell ref="H23:I23"/>
    <mergeCell ref="N2:S2"/>
    <mergeCell ref="N3:O3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H39"/>
  <sheetViews>
    <sheetView zoomScale="90" zoomScaleNormal="90" workbookViewId="0" topLeftCell="A1">
      <selection activeCell="A37" sqref="A37"/>
    </sheetView>
  </sheetViews>
  <sheetFormatPr defaultColWidth="9.140625" defaultRowHeight="12.75"/>
  <cols>
    <col min="1" max="1" width="18.7109375" style="0" customWidth="1"/>
    <col min="2" max="3" width="10.7109375" style="0" customWidth="1"/>
    <col min="4" max="4" width="11.00390625" style="0" bestFit="1" customWidth="1"/>
    <col min="5" max="5" width="11.7109375" style="0" customWidth="1"/>
    <col min="6" max="6" width="4.7109375" style="0" customWidth="1"/>
  </cols>
  <sheetData>
    <row r="1" spans="1:8" ht="12.75">
      <c r="A1" s="126" t="s">
        <v>185</v>
      </c>
      <c r="B1" s="140"/>
      <c r="C1" s="37"/>
      <c r="D1" s="4"/>
      <c r="E1" s="4"/>
      <c r="F1" s="4"/>
      <c r="G1" s="4"/>
      <c r="H1" s="4"/>
    </row>
    <row r="2" spans="2:8" ht="12.75">
      <c r="B2" s="15"/>
      <c r="C2" s="4"/>
      <c r="D2" s="19" t="s">
        <v>62</v>
      </c>
      <c r="E2" s="59"/>
      <c r="F2" s="59"/>
      <c r="G2" s="4"/>
      <c r="H2" s="4"/>
    </row>
    <row r="3" spans="1:8" ht="12.75">
      <c r="A3" s="4"/>
      <c r="B3" s="372" t="s">
        <v>282</v>
      </c>
      <c r="C3" s="372"/>
      <c r="D3" s="50">
        <v>1997</v>
      </c>
      <c r="E3" s="49" t="s">
        <v>39</v>
      </c>
      <c r="F3" s="59"/>
      <c r="G3" s="4"/>
      <c r="H3" s="4"/>
    </row>
    <row r="4" spans="1:8" ht="12.75">
      <c r="A4" s="19" t="s">
        <v>280</v>
      </c>
      <c r="B4" s="55" t="s">
        <v>281</v>
      </c>
      <c r="C4" s="136"/>
      <c r="E4" s="7"/>
      <c r="F4" s="59"/>
      <c r="G4" s="4"/>
      <c r="H4" s="4"/>
    </row>
    <row r="5" spans="1:8" ht="12.75">
      <c r="A5" s="15" t="s">
        <v>21</v>
      </c>
      <c r="B5" s="141" t="s">
        <v>183</v>
      </c>
      <c r="C5" s="161">
        <f>B$16/100</f>
        <v>1.2411</v>
      </c>
      <c r="D5" s="8">
        <v>33850</v>
      </c>
      <c r="E5" s="333">
        <f>C5*D5</f>
        <v>42011.235</v>
      </c>
      <c r="F5" s="59"/>
      <c r="G5" s="4"/>
      <c r="H5" s="4"/>
    </row>
    <row r="6" spans="1:8" ht="12.75">
      <c r="A6" s="15"/>
      <c r="B6" s="142"/>
      <c r="C6" s="161"/>
      <c r="D6" s="7"/>
      <c r="E6" s="7"/>
      <c r="F6" s="59"/>
      <c r="G6" s="4"/>
      <c r="H6" s="4"/>
    </row>
    <row r="7" spans="1:8" ht="12.75">
      <c r="A7" s="4" t="s">
        <v>21</v>
      </c>
      <c r="B7" s="135" t="s">
        <v>184</v>
      </c>
      <c r="C7" s="161">
        <f>B$16/100</f>
        <v>1.2411</v>
      </c>
      <c r="D7" s="8">
        <v>682586</v>
      </c>
      <c r="E7" s="333">
        <f>C7*D7</f>
        <v>847157.4846000001</v>
      </c>
      <c r="F7" s="59"/>
      <c r="G7" s="133"/>
      <c r="H7" s="4"/>
    </row>
    <row r="8" spans="1:8" ht="12.75">
      <c r="A8" s="4"/>
      <c r="B8" s="135"/>
      <c r="C8" s="161"/>
      <c r="D8" s="7"/>
      <c r="E8" s="7"/>
      <c r="F8" s="59"/>
      <c r="G8" s="4"/>
      <c r="H8" s="325"/>
    </row>
    <row r="9" spans="1:8" ht="12.75">
      <c r="A9" s="4" t="s">
        <v>182</v>
      </c>
      <c r="B9" s="135" t="s">
        <v>183</v>
      </c>
      <c r="C9" s="161">
        <f>B$16/100</f>
        <v>1.2411</v>
      </c>
      <c r="D9" s="8">
        <v>8819</v>
      </c>
      <c r="E9" s="329">
        <f>C9*D9</f>
        <v>10945.260900000001</v>
      </c>
      <c r="F9" s="59"/>
      <c r="G9" s="133"/>
      <c r="H9" s="4"/>
    </row>
    <row r="10" spans="1:8" ht="12.75">
      <c r="A10" s="4"/>
      <c r="B10" s="135"/>
      <c r="C10" s="161"/>
      <c r="D10" s="7"/>
      <c r="E10" s="7"/>
      <c r="F10" s="59"/>
      <c r="G10" s="4"/>
      <c r="H10" s="4"/>
    </row>
    <row r="11" spans="1:8" ht="12.75">
      <c r="A11" s="4" t="s">
        <v>182</v>
      </c>
      <c r="B11" s="135" t="s">
        <v>184</v>
      </c>
      <c r="C11" s="161">
        <f>B$16/100</f>
        <v>1.2411</v>
      </c>
      <c r="D11" s="8">
        <v>25028</v>
      </c>
      <c r="E11" s="172">
        <f>C11*D11</f>
        <v>31062.2508</v>
      </c>
      <c r="F11" s="59"/>
      <c r="G11" s="133"/>
      <c r="H11" s="4"/>
    </row>
    <row r="12" spans="1:8" ht="12.75">
      <c r="A12" s="4"/>
      <c r="B12" s="135"/>
      <c r="C12" s="136"/>
      <c r="D12" s="58"/>
      <c r="E12" s="59"/>
      <c r="F12" s="59"/>
      <c r="G12" s="133"/>
      <c r="H12" s="4"/>
    </row>
    <row r="13" spans="1:8" ht="12.75">
      <c r="A13" s="19" t="s">
        <v>40</v>
      </c>
      <c r="B13" s="143">
        <v>100</v>
      </c>
      <c r="C13" s="144" t="s">
        <v>54</v>
      </c>
      <c r="D13" s="145" t="s">
        <v>37</v>
      </c>
      <c r="E13" s="57"/>
      <c r="F13" s="59"/>
      <c r="G13" s="133"/>
      <c r="H13" s="4"/>
    </row>
    <row r="14" spans="1:8" ht="12.75">
      <c r="A14" s="144" t="s">
        <v>296</v>
      </c>
      <c r="B14" s="314">
        <f>D3</f>
        <v>1997</v>
      </c>
      <c r="C14" s="4"/>
      <c r="D14" s="4"/>
      <c r="E14" s="57"/>
      <c r="F14" s="59"/>
      <c r="G14" s="133"/>
      <c r="H14" s="4"/>
    </row>
    <row r="15" spans="1:8" ht="12.75">
      <c r="A15" s="4"/>
      <c r="B15" s="5" t="s">
        <v>38</v>
      </c>
      <c r="C15" s="4"/>
      <c r="D15" s="4"/>
      <c r="E15" s="57"/>
      <c r="F15" s="59"/>
      <c r="G15" s="133"/>
      <c r="H15" s="4"/>
    </row>
    <row r="16" spans="1:8" ht="12.75">
      <c r="A16" s="4"/>
      <c r="B16" s="9">
        <v>124.11</v>
      </c>
      <c r="C16" s="369" t="s">
        <v>55</v>
      </c>
      <c r="D16" s="370"/>
      <c r="E16" s="370"/>
      <c r="F16" s="59"/>
      <c r="G16" s="133"/>
      <c r="H16" s="4"/>
    </row>
    <row r="17" spans="1:8" ht="12.75">
      <c r="A17" s="144" t="s">
        <v>296</v>
      </c>
      <c r="B17" s="331">
        <f>'13NoiseSchedule'!C27</f>
        <v>2005</v>
      </c>
      <c r="C17" s="4"/>
      <c r="D17" s="4"/>
      <c r="E17" s="59"/>
      <c r="F17" s="59"/>
      <c r="G17" s="133"/>
      <c r="H17" s="4"/>
    </row>
    <row r="18" spans="1:8" ht="15.75">
      <c r="A18" s="311" t="s">
        <v>253</v>
      </c>
      <c r="B18" s="4"/>
      <c r="C18" s="59"/>
      <c r="D18" s="59"/>
      <c r="E18" s="133"/>
      <c r="F18" s="4"/>
      <c r="G18" s="4"/>
      <c r="H18" s="4"/>
    </row>
    <row r="19" spans="1:8" ht="16.5" thickBot="1">
      <c r="A19" s="371" t="s">
        <v>107</v>
      </c>
      <c r="B19" s="371"/>
      <c r="C19" s="371"/>
      <c r="D19" s="196" t="s">
        <v>105</v>
      </c>
      <c r="E19" s="310" t="str">
        <f>IF(D19=G23,"Correct!","Try again.")</f>
        <v>Correct!</v>
      </c>
      <c r="F19" s="59"/>
      <c r="G19" s="133"/>
      <c r="H19" s="4"/>
    </row>
    <row r="20" spans="1:8" ht="12.75">
      <c r="A20" s="4"/>
      <c r="B20" s="4"/>
      <c r="C20" s="4"/>
      <c r="D20" s="4"/>
      <c r="E20" s="4"/>
      <c r="F20" s="134"/>
      <c r="G20" s="4"/>
      <c r="H20" s="4"/>
    </row>
    <row r="21" spans="1:8" ht="12.75">
      <c r="A21" s="4"/>
      <c r="B21" s="4"/>
      <c r="C21" s="4"/>
      <c r="D21" s="4"/>
      <c r="E21" s="4"/>
      <c r="F21" s="13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 t="s">
        <v>105</v>
      </c>
      <c r="H23" s="4"/>
    </row>
    <row r="24" spans="1:8" ht="12.75">
      <c r="A24" s="137"/>
      <c r="B24" s="137"/>
      <c r="C24" s="137"/>
      <c r="D24" s="4"/>
      <c r="E24" s="4"/>
      <c r="F24" s="4"/>
      <c r="G24" s="4"/>
      <c r="H24" s="4"/>
    </row>
    <row r="25" spans="1:8" ht="12.75">
      <c r="A25" s="82"/>
      <c r="B25" s="304"/>
      <c r="C25" s="304"/>
      <c r="D25" s="249"/>
      <c r="E25" s="249"/>
      <c r="F25" s="249"/>
      <c r="G25" s="4"/>
      <c r="H25" s="4"/>
    </row>
    <row r="26" spans="1:8" ht="12.75">
      <c r="A26" s="249"/>
      <c r="B26" s="304"/>
      <c r="C26" s="304"/>
      <c r="D26" s="249"/>
      <c r="E26" s="249"/>
      <c r="F26" s="249"/>
      <c r="G26" s="4"/>
      <c r="H26" s="4"/>
    </row>
    <row r="27" spans="1:8" ht="12.75">
      <c r="A27" s="249"/>
      <c r="B27" s="304" t="s">
        <v>247</v>
      </c>
      <c r="C27" s="304">
        <f>SUM(D5:D11)</f>
        <v>750283</v>
      </c>
      <c r="D27" s="249"/>
      <c r="E27" s="249"/>
      <c r="F27" s="249"/>
      <c r="G27" s="4"/>
      <c r="H27" s="4"/>
    </row>
    <row r="28" spans="1:8" ht="12.75">
      <c r="A28" s="249"/>
      <c r="B28" s="304" t="s">
        <v>248</v>
      </c>
      <c r="C28" s="304">
        <f>SUM(E5:E11)</f>
        <v>931176.2313000001</v>
      </c>
      <c r="D28" s="249"/>
      <c r="E28" s="249"/>
      <c r="F28" s="249"/>
      <c r="G28" s="4"/>
      <c r="H28" s="4"/>
    </row>
    <row r="29" spans="1:8" ht="12.75">
      <c r="A29" s="249"/>
      <c r="B29" s="305"/>
      <c r="C29" s="305"/>
      <c r="D29" s="249"/>
      <c r="E29" s="249"/>
      <c r="F29" s="249"/>
      <c r="G29" s="4"/>
      <c r="H29" s="4"/>
    </row>
    <row r="30" spans="1:8" ht="12.75">
      <c r="A30" s="249"/>
      <c r="B30" s="249"/>
      <c r="C30" s="249"/>
      <c r="D30" s="249"/>
      <c r="E30" s="249"/>
      <c r="F30" s="249"/>
      <c r="G30" s="4"/>
      <c r="H30" s="4"/>
    </row>
    <row r="31" spans="1:8" ht="12.75">
      <c r="A31" s="249"/>
      <c r="B31" s="249"/>
      <c r="C31" s="249"/>
      <c r="D31" s="249"/>
      <c r="E31" s="249"/>
      <c r="F31" s="249"/>
      <c r="G31" s="4"/>
      <c r="H31" s="4"/>
    </row>
    <row r="32" spans="1:8" ht="12.75">
      <c r="A32" s="249"/>
      <c r="B32" s="249"/>
      <c r="C32" s="249"/>
      <c r="D32" s="249"/>
      <c r="E32" s="249"/>
      <c r="F32" s="249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ht="12.75">
      <c r="A39" s="4" t="s">
        <v>88</v>
      </c>
    </row>
  </sheetData>
  <mergeCells count="3">
    <mergeCell ref="C16:E16"/>
    <mergeCell ref="A19:C19"/>
    <mergeCell ref="B3:C3"/>
  </mergeCells>
  <hyperlinks>
    <hyperlink ref="D13" r:id="rId1" display="www.bls.gov/cpi/home.htm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H51"/>
  <sheetViews>
    <sheetView workbookViewId="0" topLeftCell="A1">
      <selection activeCell="B8" sqref="B8"/>
    </sheetView>
  </sheetViews>
  <sheetFormatPr defaultColWidth="9.140625" defaultRowHeight="12.75"/>
  <cols>
    <col min="1" max="1" width="15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26" t="s">
        <v>98</v>
      </c>
      <c r="B1" s="126"/>
      <c r="C1" s="36"/>
      <c r="D1" s="4"/>
      <c r="E1" s="4"/>
      <c r="F1" s="4"/>
      <c r="G1" s="62"/>
      <c r="H1" s="4"/>
    </row>
    <row r="2" spans="1:8" ht="12.75">
      <c r="A2" s="19" t="s">
        <v>17</v>
      </c>
      <c r="B2" s="4"/>
      <c r="C2" s="116" t="e">
        <f>#REF!</f>
        <v>#REF!</v>
      </c>
      <c r="D2" s="4"/>
      <c r="E2" s="4"/>
      <c r="F2" s="4"/>
      <c r="G2" s="62"/>
      <c r="H2" s="4"/>
    </row>
    <row r="3" spans="1:8" ht="12.75">
      <c r="A3" s="4" t="s">
        <v>20</v>
      </c>
      <c r="B3" s="4"/>
      <c r="C3" s="4"/>
      <c r="D3" s="4"/>
      <c r="E3" s="4"/>
      <c r="F3" s="4"/>
      <c r="G3" s="62"/>
      <c r="H3" s="4"/>
    </row>
    <row r="4" spans="1:8" ht="12.75">
      <c r="A4" s="19" t="s">
        <v>18</v>
      </c>
      <c r="B4" s="4"/>
      <c r="C4" s="162" t="e">
        <f>#REF!</f>
        <v>#REF!</v>
      </c>
      <c r="D4" s="4" t="s">
        <v>19</v>
      </c>
      <c r="E4" s="4"/>
      <c r="F4" s="4"/>
      <c r="G4" s="4"/>
      <c r="H4" s="4"/>
    </row>
    <row r="5" spans="1:8" ht="12.75">
      <c r="A5" s="16"/>
      <c r="B5" s="355" t="s">
        <v>23</v>
      </c>
      <c r="C5" s="355"/>
      <c r="D5" s="4"/>
      <c r="E5" s="355" t="s">
        <v>83</v>
      </c>
      <c r="F5" s="355"/>
      <c r="G5" s="4"/>
      <c r="H5" s="4"/>
    </row>
    <row r="6" spans="1:8" ht="12.75">
      <c r="A6" s="16" t="s">
        <v>22</v>
      </c>
      <c r="B6" s="43">
        <v>0</v>
      </c>
      <c r="C6" s="43" t="e">
        <f>C2</f>
        <v>#REF!</v>
      </c>
      <c r="D6" s="4"/>
      <c r="E6" s="147" t="s">
        <v>77</v>
      </c>
      <c r="F6" s="127" t="s">
        <v>52</v>
      </c>
      <c r="G6" s="4"/>
      <c r="H6" s="4"/>
    </row>
    <row r="7" spans="1:8" ht="12.75">
      <c r="A7" s="4" t="s">
        <v>15</v>
      </c>
      <c r="B7" s="113" t="e">
        <f>#REF!</f>
        <v>#REF!</v>
      </c>
      <c r="C7" s="28" t="e">
        <f>B7</f>
        <v>#REF!</v>
      </c>
      <c r="D7" s="4"/>
      <c r="E7" s="113" t="e">
        <f>#REF!</f>
        <v>#REF!</v>
      </c>
      <c r="F7" s="113" t="e">
        <f>#REF!</f>
        <v>#REF!</v>
      </c>
      <c r="G7" s="4"/>
      <c r="H7" s="4"/>
    </row>
    <row r="8" spans="1:8" ht="12.75">
      <c r="A8" s="4" t="s">
        <v>3</v>
      </c>
      <c r="B8" s="173" t="e">
        <f>-'12Schedule'!E5*('11DecisionTree'!L27-'11DecisionTree'!L4)*$C$4</f>
        <v>#REF!</v>
      </c>
      <c r="C8" s="173" t="e">
        <f>-('12Schedule'!$E$5*('11DecisionTree'!$L27-'11DecisionTree'!$L4)*(1/$C$6-(1/($C$6*POWER(1+$C$6,$C$4)))))</f>
        <v>#REF!</v>
      </c>
      <c r="D8" s="4"/>
      <c r="E8" s="7"/>
      <c r="F8" s="7"/>
      <c r="G8" s="4"/>
      <c r="H8" s="4"/>
    </row>
    <row r="9" spans="1:8" ht="12.75">
      <c r="A9" s="4" t="s">
        <v>10</v>
      </c>
      <c r="B9" s="187" t="e">
        <f>-'12Schedule'!E7*('11DecisionTree'!L30-'11DecisionTree'!L7)*$C$4</f>
        <v>#REF!</v>
      </c>
      <c r="C9" s="187" t="e">
        <f>-('12Schedule'!$E$7*('11DecisionTree'!$L30-'11DecisionTree'!$L7)*(1/$C$6-(1/($C$6*POWER(1+$C$6,$C$4)))))</f>
        <v>#REF!</v>
      </c>
      <c r="D9" s="4"/>
      <c r="E9" s="186" t="e">
        <f>-#REF!</f>
        <v>#REF!</v>
      </c>
      <c r="F9" s="186" t="e">
        <f>-#REF!</f>
        <v>#REF!</v>
      </c>
      <c r="G9" s="4"/>
      <c r="H9" s="4"/>
    </row>
    <row r="10" spans="1:8" ht="12.75">
      <c r="A10" s="4" t="s">
        <v>13</v>
      </c>
      <c r="B10" s="178" t="e">
        <f>-'12Schedule'!E9*('11DecisionTree'!L33-'11DecisionTree'!L10)*$C$4</f>
        <v>#REF!</v>
      </c>
      <c r="C10" s="178" t="e">
        <f>-('12Schedule'!$E$9*('11DecisionTree'!$L33-'11DecisionTree'!$L10)*(1/$C$6-(1/($C$6*POWER(1+$C$6,$C$4)))))</f>
        <v>#REF!</v>
      </c>
      <c r="D10" s="4"/>
      <c r="E10" s="7"/>
      <c r="F10" s="7"/>
      <c r="G10" s="4"/>
      <c r="H10" s="4"/>
    </row>
    <row r="11" spans="1:8" ht="13.5" thickBot="1">
      <c r="A11" s="4" t="s">
        <v>11</v>
      </c>
      <c r="B11" s="192" t="e">
        <f>-'12Schedule'!E11*('11DecisionTree'!L36-'11DecisionTree'!L13)*$C$4</f>
        <v>#REF!</v>
      </c>
      <c r="C11" s="192" t="e">
        <f>-('12Schedule'!$E$11*('11DecisionTree'!$L36-'11DecisionTree'!$L13)*(1/$C$6-(1/($C$6*POWER(1+$C$6,$C$4)))))</f>
        <v>#REF!</v>
      </c>
      <c r="D11" s="4"/>
      <c r="E11" s="26"/>
      <c r="F11" s="26"/>
      <c r="G11" s="4"/>
      <c r="H11" s="4"/>
    </row>
    <row r="12" spans="1:8" ht="12.75">
      <c r="A12" s="4" t="s">
        <v>25</v>
      </c>
      <c r="B12" s="59" t="e">
        <f>SUM(B7:B11)</f>
        <v>#REF!</v>
      </c>
      <c r="C12" s="59" t="e">
        <f>SUM(C7:C11)</f>
        <v>#REF!</v>
      </c>
      <c r="D12" s="4"/>
      <c r="E12" s="59" t="e">
        <f>SUM(E7:E11)</f>
        <v>#REF!</v>
      </c>
      <c r="F12" s="59" t="e">
        <f>SUM(F7:F11)</f>
        <v>#REF!</v>
      </c>
      <c r="G12" s="4"/>
      <c r="H12" s="4"/>
    </row>
    <row r="13" spans="1:8" ht="12.75">
      <c r="A13" s="4"/>
      <c r="B13" s="148"/>
      <c r="C13" s="148"/>
      <c r="D13" s="4"/>
      <c r="E13" s="4"/>
      <c r="F13" s="4"/>
      <c r="G13" s="4"/>
      <c r="H13" s="4"/>
    </row>
    <row r="14" spans="1:8" ht="12.75">
      <c r="A14" s="16" t="s">
        <v>24</v>
      </c>
      <c r="B14" s="4"/>
      <c r="C14" s="4"/>
      <c r="D14" s="4"/>
      <c r="E14" s="4"/>
      <c r="F14" s="4"/>
      <c r="G14" s="4"/>
      <c r="H14" s="4"/>
    </row>
    <row r="15" spans="1:8" ht="12.75">
      <c r="A15" s="4" t="s">
        <v>3</v>
      </c>
      <c r="B15" s="174" t="e">
        <f>('11DecisionTree'!L27-'11DecisionTree'!L4)*$C$4</f>
        <v>#REF!</v>
      </c>
      <c r="C15" s="175" t="e">
        <f>('11DecisionTree'!L27-'11DecisionTree'!L4)*(1/$C$6-(1/($C$6*(POWER(1+$C$6,$C$4)))))</f>
        <v>#REF!</v>
      </c>
      <c r="D15" s="4"/>
      <c r="E15" s="4"/>
      <c r="F15" s="4"/>
      <c r="G15" s="4"/>
      <c r="H15" s="4"/>
    </row>
    <row r="16" spans="1:8" ht="12.75">
      <c r="A16" s="4" t="s">
        <v>10</v>
      </c>
      <c r="B16" s="190" t="e">
        <f>('11DecisionTree'!L30-'11DecisionTree'!L7)*$C$4</f>
        <v>#REF!</v>
      </c>
      <c r="C16" s="191" t="e">
        <f>('11DecisionTree'!L30-'11DecisionTree'!L7)*(1/$C$6-(1/($C$6*(POWER(1+$C$6,$C$4)))))</f>
        <v>#REF!</v>
      </c>
      <c r="D16" s="4"/>
      <c r="E16" s="189">
        <v>1</v>
      </c>
      <c r="F16" s="189">
        <v>1</v>
      </c>
      <c r="G16" s="4"/>
      <c r="H16" s="4"/>
    </row>
    <row r="17" spans="1:8" ht="12.75">
      <c r="A17" s="4" t="s">
        <v>13</v>
      </c>
      <c r="B17" s="179" t="e">
        <f>('11DecisionTree'!L33-'11DecisionTree'!L10)*$C$4</f>
        <v>#REF!</v>
      </c>
      <c r="C17" s="180" t="e">
        <f>('11DecisionTree'!L30-'11DecisionTree'!L10)*(1/$C$6-(1/($C$6*(POWER(1+$C$6,$C$4)))))</f>
        <v>#REF!</v>
      </c>
      <c r="D17" s="4"/>
      <c r="E17" s="4"/>
      <c r="F17" s="4"/>
      <c r="G17" s="4"/>
      <c r="H17" s="4"/>
    </row>
    <row r="18" spans="1:8" ht="13.5" thickBot="1">
      <c r="A18" s="4" t="s">
        <v>11</v>
      </c>
      <c r="B18" s="193" t="e">
        <f>('11DecisionTree'!L36-'11DecisionTree'!L13)*$C$4</f>
        <v>#REF!</v>
      </c>
      <c r="C18" s="194" t="e">
        <f>('11DecisionTree'!L36-'11DecisionTree'!L13)*(1/$C$6-(1/($C$6*(POWER(1+$C$6,$C$4)))))</f>
        <v>#REF!</v>
      </c>
      <c r="D18" s="4"/>
      <c r="E18" s="17"/>
      <c r="F18" s="17"/>
      <c r="G18" s="4"/>
      <c r="H18" s="4"/>
    </row>
    <row r="19" spans="1:8" ht="12.75">
      <c r="A19" s="4" t="s">
        <v>16</v>
      </c>
      <c r="B19" s="146" t="e">
        <f>SUM(B15:B18)</f>
        <v>#REF!</v>
      </c>
      <c r="C19" s="146" t="e">
        <f>SUM(C15:C18)</f>
        <v>#REF!</v>
      </c>
      <c r="D19" s="4"/>
      <c r="E19" s="119">
        <f>SUM(E15:E18)</f>
        <v>1</v>
      </c>
      <c r="F19" s="119">
        <f>SUM(F15:F18)</f>
        <v>1</v>
      </c>
      <c r="G19" s="4"/>
      <c r="H19" s="4"/>
    </row>
    <row r="20" spans="1:8" ht="15.75">
      <c r="A20" s="211" t="s">
        <v>117</v>
      </c>
      <c r="B20" s="4"/>
      <c r="C20" s="4"/>
      <c r="D20" s="4"/>
      <c r="E20" s="4"/>
      <c r="F20" s="4"/>
      <c r="G20" s="4"/>
      <c r="H20" s="4"/>
    </row>
    <row r="21" spans="1:8" ht="16.5" thickBot="1">
      <c r="A21" s="205" t="s">
        <v>108</v>
      </c>
      <c r="B21" s="139"/>
      <c r="C21" s="59"/>
      <c r="D21" s="4"/>
      <c r="E21" s="4"/>
      <c r="F21" s="196" t="s">
        <v>105</v>
      </c>
      <c r="G21" s="197" t="b">
        <f>EXACT(F21,"yes")</f>
        <v>1</v>
      </c>
      <c r="H21" s="4"/>
    </row>
    <row r="22" spans="1:8" ht="15.75">
      <c r="A22" s="188" t="s">
        <v>118</v>
      </c>
      <c r="B22" s="4"/>
      <c r="C22" s="4"/>
      <c r="D22" s="4"/>
      <c r="E22" s="4"/>
      <c r="F22" s="4"/>
      <c r="G22" s="4"/>
      <c r="H22" s="4"/>
    </row>
    <row r="23" spans="1:8" ht="16.5" thickBot="1">
      <c r="A23" s="207" t="s">
        <v>109</v>
      </c>
      <c r="B23" s="4"/>
      <c r="C23" s="4"/>
      <c r="D23" s="4"/>
      <c r="E23" s="4"/>
      <c r="F23" s="196" t="s">
        <v>105</v>
      </c>
      <c r="G23" s="197" t="b">
        <f>EXACT(F23,"yes")</f>
        <v>1</v>
      </c>
      <c r="H23" s="4"/>
    </row>
    <row r="24" spans="1:8" ht="15.75">
      <c r="A24" s="16"/>
      <c r="B24" s="4"/>
      <c r="C24" s="4"/>
      <c r="D24" s="4"/>
      <c r="E24" s="4"/>
      <c r="F24" s="203"/>
      <c r="G24" s="197"/>
      <c r="H24" s="4"/>
    </row>
    <row r="25" spans="1:8" ht="12.75">
      <c r="A25" s="137" t="str">
        <f>A7</f>
        <v>Intervention</v>
      </c>
      <c r="B25" s="130"/>
      <c r="C25" s="131">
        <f>B6</f>
        <v>0</v>
      </c>
      <c r="D25" s="131" t="e">
        <f>C6</f>
        <v>#REF!</v>
      </c>
      <c r="E25" s="4"/>
      <c r="F25" s="4"/>
      <c r="G25" s="4"/>
      <c r="H25" s="4"/>
    </row>
    <row r="26" spans="1:8" ht="12.75">
      <c r="A26" s="137" t="str">
        <f>A8</f>
        <v>Death</v>
      </c>
      <c r="B26" s="130" t="str">
        <f>A7</f>
        <v>Intervention</v>
      </c>
      <c r="C26" s="132" t="e">
        <f aca="true" t="shared" si="0" ref="C26:D30">-B7</f>
        <v>#REF!</v>
      </c>
      <c r="D26" s="132" t="e">
        <f t="shared" si="0"/>
        <v>#REF!</v>
      </c>
      <c r="E26" s="4"/>
      <c r="F26" s="4"/>
      <c r="G26" s="4"/>
      <c r="H26" s="4"/>
    </row>
    <row r="27" spans="1:8" ht="12.75">
      <c r="A27" s="137" t="str">
        <f>A9</f>
        <v>Disability</v>
      </c>
      <c r="B27" s="130" t="str">
        <f>A8</f>
        <v>Death</v>
      </c>
      <c r="C27" s="132" t="e">
        <f t="shared" si="0"/>
        <v>#REF!</v>
      </c>
      <c r="D27" s="132" t="e">
        <f t="shared" si="0"/>
        <v>#REF!</v>
      </c>
      <c r="E27" s="4"/>
      <c r="F27" s="4"/>
      <c r="G27" s="4"/>
      <c r="H27" s="4"/>
    </row>
    <row r="28" spans="1:8" ht="12.75">
      <c r="A28" s="137" t="str">
        <f>A10</f>
        <v>Hospitalized</v>
      </c>
      <c r="B28" s="130" t="str">
        <f>A9</f>
        <v>Disability</v>
      </c>
      <c r="C28" s="132" t="e">
        <f t="shared" si="0"/>
        <v>#REF!</v>
      </c>
      <c r="D28" s="132" t="e">
        <f t="shared" si="0"/>
        <v>#REF!</v>
      </c>
      <c r="E28" s="4"/>
      <c r="F28" s="4"/>
      <c r="G28" s="4"/>
      <c r="H28" s="4"/>
    </row>
    <row r="29" spans="1:8" ht="12.75">
      <c r="A29" s="137" t="str">
        <f>A11</f>
        <v>Outpatient</v>
      </c>
      <c r="B29" s="130" t="str">
        <f>A10</f>
        <v>Hospitalized</v>
      </c>
      <c r="C29" s="132" t="e">
        <f t="shared" si="0"/>
        <v>#REF!</v>
      </c>
      <c r="D29" s="132" t="e">
        <f t="shared" si="0"/>
        <v>#REF!</v>
      </c>
      <c r="E29" s="4"/>
      <c r="F29" s="4"/>
      <c r="G29" s="4"/>
      <c r="H29" s="4"/>
    </row>
    <row r="30" spans="1:8" ht="12.75">
      <c r="A30" s="4"/>
      <c r="B30" s="130" t="str">
        <f>A11</f>
        <v>Outpatient</v>
      </c>
      <c r="C30" s="132" t="e">
        <f t="shared" si="0"/>
        <v>#REF!</v>
      </c>
      <c r="D30" s="132" t="e">
        <f t="shared" si="0"/>
        <v>#REF!</v>
      </c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 t="s">
        <v>88</v>
      </c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2">
    <mergeCell ref="E5:F5"/>
    <mergeCell ref="B5:C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H54"/>
  <sheetViews>
    <sheetView workbookViewId="0" topLeftCell="A1">
      <selection activeCell="G18" sqref="G17:G18"/>
    </sheetView>
  </sheetViews>
  <sheetFormatPr defaultColWidth="9.140625" defaultRowHeight="12.75"/>
  <cols>
    <col min="2" max="2" width="24.7109375" style="0" customWidth="1"/>
    <col min="6" max="6" width="10.140625" style="0" bestFit="1" customWidth="1"/>
    <col min="8" max="8" width="7.7109375" style="0" customWidth="1"/>
    <col min="10" max="10" width="10.140625" style="0" bestFit="1" customWidth="1"/>
  </cols>
  <sheetData>
    <row r="1" spans="1:8" ht="12.75">
      <c r="A1" s="126" t="s">
        <v>283</v>
      </c>
      <c r="B1" s="4"/>
      <c r="C1" s="4"/>
      <c r="D1" s="4"/>
      <c r="E1" s="4"/>
      <c r="F1" s="4"/>
      <c r="G1" s="4"/>
      <c r="H1" s="4"/>
    </row>
    <row r="2" spans="1:8" ht="12.75" hidden="1">
      <c r="A2" s="14" t="s">
        <v>194</v>
      </c>
      <c r="B2" s="15"/>
      <c r="C2" s="55" t="s">
        <v>49</v>
      </c>
      <c r="D2" s="4"/>
      <c r="E2" s="4"/>
      <c r="F2" s="4"/>
      <c r="G2" s="4"/>
      <c r="H2" s="4"/>
    </row>
    <row r="3" spans="1:8" ht="12.75" hidden="1">
      <c r="A3" s="4"/>
      <c r="B3" s="15"/>
      <c r="C3" s="155">
        <f>(8InterventionCost!G6)</f>
        <v>546.0000000000001</v>
      </c>
      <c r="D3" s="4"/>
      <c r="E3" s="4"/>
      <c r="F3" s="4"/>
      <c r="G3" s="4"/>
      <c r="H3" s="4"/>
    </row>
    <row r="4" spans="1:8" ht="12.75" hidden="1">
      <c r="A4" s="4"/>
      <c r="B4" s="4"/>
      <c r="D4" s="4"/>
      <c r="E4" s="4"/>
      <c r="F4" s="4"/>
      <c r="G4" s="4"/>
      <c r="H4" s="4"/>
    </row>
    <row r="5" spans="1:8" ht="12.75">
      <c r="A5" s="4"/>
      <c r="B5" s="4"/>
      <c r="C5" s="239" t="s">
        <v>166</v>
      </c>
      <c r="D5" s="4"/>
      <c r="E5" s="4"/>
      <c r="F5" s="4"/>
      <c r="G5" s="4"/>
      <c r="H5" s="4"/>
    </row>
    <row r="6" spans="1:8" ht="12.75">
      <c r="A6" s="19" t="s">
        <v>197</v>
      </c>
      <c r="B6" s="4"/>
      <c r="C6" s="239">
        <v>2000</v>
      </c>
      <c r="D6" s="306" t="s">
        <v>39</v>
      </c>
      <c r="E6" s="4"/>
      <c r="F6" s="4"/>
      <c r="G6" s="4"/>
      <c r="H6" s="4"/>
    </row>
    <row r="7" spans="1:8" ht="12.75">
      <c r="A7" s="4" t="s">
        <v>252</v>
      </c>
      <c r="B7" s="4"/>
      <c r="C7" s="239" t="s">
        <v>195</v>
      </c>
      <c r="D7" s="4"/>
      <c r="E7" s="4"/>
      <c r="F7" s="4"/>
      <c r="G7" s="4"/>
      <c r="H7" s="4"/>
    </row>
    <row r="8" spans="1:8" ht="12.75" customHeight="1">
      <c r="A8" s="4"/>
      <c r="B8" s="4" t="s">
        <v>187</v>
      </c>
      <c r="C8" s="237">
        <v>8129</v>
      </c>
      <c r="D8" s="28">
        <f aca="true" t="shared" si="0" ref="D8:D13">C8*C$26/100</f>
        <v>9403.6272</v>
      </c>
      <c r="E8" s="350" t="s">
        <v>290</v>
      </c>
      <c r="F8" s="350"/>
      <c r="G8" s="350"/>
      <c r="H8" s="350"/>
    </row>
    <row r="9" spans="1:8" ht="12.75" customHeight="1">
      <c r="A9" s="4"/>
      <c r="B9" s="4" t="s">
        <v>188</v>
      </c>
      <c r="C9" s="8">
        <v>106</v>
      </c>
      <c r="D9" s="28">
        <f t="shared" si="0"/>
        <v>122.6208</v>
      </c>
      <c r="E9" s="350"/>
      <c r="F9" s="350"/>
      <c r="G9" s="350"/>
      <c r="H9" s="350"/>
    </row>
    <row r="10" spans="1:8" ht="12.75" customHeight="1">
      <c r="A10" s="4"/>
      <c r="B10" s="4" t="s">
        <v>189</v>
      </c>
      <c r="C10" s="8">
        <v>8683</v>
      </c>
      <c r="D10" s="28">
        <f t="shared" si="0"/>
        <v>10044.494400000001</v>
      </c>
      <c r="E10" s="350"/>
      <c r="F10" s="350"/>
      <c r="G10" s="350"/>
      <c r="H10" s="350"/>
    </row>
    <row r="11" spans="1:8" ht="12.75">
      <c r="A11" s="4"/>
      <c r="B11" s="4" t="s">
        <v>190</v>
      </c>
      <c r="C11" s="8">
        <v>5438</v>
      </c>
      <c r="D11" s="28">
        <f t="shared" si="0"/>
        <v>6290.678400000001</v>
      </c>
      <c r="E11" s="350"/>
      <c r="F11" s="350"/>
      <c r="G11" s="350"/>
      <c r="H11" s="350"/>
    </row>
    <row r="12" spans="1:8" ht="16.5" thickBot="1">
      <c r="A12" s="4"/>
      <c r="B12" s="4" t="s">
        <v>191</v>
      </c>
      <c r="C12" s="8">
        <v>735</v>
      </c>
      <c r="D12" s="307">
        <f t="shared" si="0"/>
        <v>850.248</v>
      </c>
      <c r="F12" s="352" t="s">
        <v>249</v>
      </c>
      <c r="G12" s="352"/>
      <c r="H12" s="352"/>
    </row>
    <row r="13" spans="1:8" ht="15.75">
      <c r="A13" s="4"/>
      <c r="B13" s="144" t="s">
        <v>192</v>
      </c>
      <c r="C13" s="59">
        <f>SUM(C8:C12)</f>
        <v>23091</v>
      </c>
      <c r="D13" s="309">
        <f t="shared" si="0"/>
        <v>26711.668800000003</v>
      </c>
      <c r="E13" s="4"/>
      <c r="F13" s="373" t="str">
        <f>IF(F12=A18,"Correct!","Try again.")</f>
        <v>Correct!</v>
      </c>
      <c r="G13" s="373"/>
      <c r="H13" s="4"/>
    </row>
    <row r="14" spans="1:8" ht="12.75">
      <c r="A14" s="4" t="s">
        <v>251</v>
      </c>
      <c r="B14" s="4"/>
      <c r="C14" s="59"/>
      <c r="D14" s="4"/>
      <c r="E14" s="4"/>
      <c r="F14" s="4"/>
      <c r="G14" s="4"/>
      <c r="H14" s="4"/>
    </row>
    <row r="15" spans="1:8" ht="12.75">
      <c r="A15" s="4"/>
      <c r="B15" s="4" t="s">
        <v>254</v>
      </c>
      <c r="C15" s="8">
        <v>678</v>
      </c>
      <c r="D15" s="28">
        <f>C15*C$26/100</f>
        <v>784.3104000000001</v>
      </c>
      <c r="E15" s="4"/>
      <c r="F15" s="4"/>
      <c r="G15" s="4"/>
      <c r="H15" s="4"/>
    </row>
    <row r="16" spans="1:8" ht="12.75">
      <c r="A16" s="4"/>
      <c r="B16" s="4" t="s">
        <v>193</v>
      </c>
      <c r="C16" s="238">
        <v>66690</v>
      </c>
      <c r="D16" s="308">
        <f>C16*C$26/100</f>
        <v>77146.992</v>
      </c>
      <c r="E16" s="4"/>
      <c r="F16" s="4"/>
      <c r="G16" s="4"/>
      <c r="H16" s="4"/>
    </row>
    <row r="17" spans="1:8" ht="12.75">
      <c r="A17" s="4"/>
      <c r="B17" s="144" t="s">
        <v>192</v>
      </c>
      <c r="C17" s="59">
        <f>SUM(C15:C16)</f>
        <v>67368</v>
      </c>
      <c r="D17" s="176">
        <f>C17*C$26/100</f>
        <v>77931.3024</v>
      </c>
      <c r="E17" s="4"/>
      <c r="F17" s="4"/>
      <c r="G17" s="4"/>
      <c r="H17" s="4"/>
    </row>
    <row r="18" spans="1:8" ht="12.75">
      <c r="A18" s="4" t="s">
        <v>250</v>
      </c>
      <c r="B18" s="4"/>
      <c r="C18" s="59"/>
      <c r="D18" s="4"/>
      <c r="E18" s="4"/>
      <c r="F18" s="4"/>
      <c r="G18" s="4"/>
      <c r="H18" s="4"/>
    </row>
    <row r="19" spans="1:8" ht="12.75">
      <c r="A19" s="4"/>
      <c r="B19" s="4" t="s">
        <v>10</v>
      </c>
      <c r="C19" s="8">
        <v>224109</v>
      </c>
      <c r="D19" s="28">
        <f>C19*C$26/100</f>
        <v>259249.2912</v>
      </c>
      <c r="E19" s="4"/>
      <c r="F19" s="4"/>
      <c r="G19" s="4"/>
      <c r="H19" s="4"/>
    </row>
    <row r="20" spans="1:8" ht="12.75">
      <c r="A20" s="4"/>
      <c r="B20" s="4" t="s">
        <v>196</v>
      </c>
      <c r="C20" s="238">
        <v>11170</v>
      </c>
      <c r="D20" s="308">
        <f>C20*C$26/100</f>
        <v>12921.456</v>
      </c>
      <c r="E20" s="4"/>
      <c r="F20" s="4"/>
      <c r="G20" s="4"/>
      <c r="H20" s="4"/>
    </row>
    <row r="21" spans="1:8" ht="13.5" thickBot="1">
      <c r="A21" s="4"/>
      <c r="B21" s="144" t="s">
        <v>192</v>
      </c>
      <c r="C21" s="322">
        <f>SUM(C19:C20)</f>
        <v>235279</v>
      </c>
      <c r="D21" s="323">
        <f>SUM(D19:D20)</f>
        <v>272170.7472</v>
      </c>
      <c r="E21" s="4"/>
      <c r="F21" s="4"/>
      <c r="G21" s="4"/>
      <c r="H21" s="4"/>
    </row>
    <row r="22" spans="1:8" ht="13.5" thickTop="1">
      <c r="A22" s="4"/>
      <c r="B22" s="154" t="s">
        <v>16</v>
      </c>
      <c r="C22" s="60">
        <f>C13+C17+C21</f>
        <v>325738</v>
      </c>
      <c r="D22" s="59">
        <f>D13+D17+D21</f>
        <v>376813.7184</v>
      </c>
      <c r="E22" s="4"/>
      <c r="F22" s="4"/>
      <c r="G22" s="4"/>
      <c r="H22" s="4"/>
    </row>
    <row r="23" spans="1:8" ht="12.75">
      <c r="A23" s="4"/>
      <c r="B23" s="19" t="s">
        <v>40</v>
      </c>
      <c r="C23" s="143">
        <v>100</v>
      </c>
      <c r="D23" s="144" t="s">
        <v>54</v>
      </c>
      <c r="E23" s="145" t="s">
        <v>37</v>
      </c>
      <c r="F23" s="57"/>
      <c r="G23" s="59"/>
      <c r="H23" s="4"/>
    </row>
    <row r="24" spans="1:8" ht="12.75">
      <c r="A24" s="4"/>
      <c r="B24" s="144" t="s">
        <v>296</v>
      </c>
      <c r="C24" s="314">
        <f>C6</f>
        <v>2000</v>
      </c>
      <c r="D24" s="4"/>
      <c r="E24" s="4"/>
      <c r="F24" s="57"/>
      <c r="G24" s="59"/>
      <c r="H24" s="4"/>
    </row>
    <row r="25" spans="1:8" ht="12.75">
      <c r="A25" s="4"/>
      <c r="B25" s="4"/>
      <c r="C25" s="5" t="s">
        <v>38</v>
      </c>
      <c r="D25" s="4"/>
      <c r="E25" s="4"/>
      <c r="F25" s="57"/>
      <c r="G25" s="59"/>
      <c r="H25" s="4"/>
    </row>
    <row r="26" spans="2:7" ht="12.75">
      <c r="B26" s="4"/>
      <c r="C26" s="9">
        <v>115.68</v>
      </c>
      <c r="D26" s="369" t="s">
        <v>55</v>
      </c>
      <c r="E26" s="370"/>
      <c r="F26" s="370"/>
      <c r="G26" s="59"/>
    </row>
    <row r="27" spans="1:8" ht="12.75">
      <c r="A27" s="4"/>
      <c r="B27" s="144" t="s">
        <v>296</v>
      </c>
      <c r="C27" s="332">
        <f>YEAR(F31)</f>
        <v>2005</v>
      </c>
      <c r="D27" s="4"/>
      <c r="E27" s="4"/>
      <c r="F27" s="59"/>
      <c r="G27" s="59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 t="str">
        <f>A7</f>
        <v>Direct Medical</v>
      </c>
      <c r="C31" s="59">
        <f>D13</f>
        <v>26711.668800000003</v>
      </c>
      <c r="D31" s="4"/>
      <c r="E31" s="4"/>
      <c r="F31" s="330">
        <f ca="1">TODAY()</f>
        <v>38686</v>
      </c>
      <c r="G31" s="4"/>
      <c r="H31" s="4"/>
    </row>
    <row r="32" spans="1:8" ht="12.75">
      <c r="A32" s="4"/>
      <c r="B32" s="4" t="str">
        <f>A14</f>
        <v>Direct Non-medical</v>
      </c>
      <c r="C32" s="59">
        <f>D16</f>
        <v>77146.992</v>
      </c>
      <c r="D32" s="4"/>
      <c r="E32" s="4"/>
      <c r="F32" s="4"/>
      <c r="G32" s="4"/>
      <c r="H32" s="4"/>
    </row>
    <row r="33" spans="1:8" ht="12.75">
      <c r="A33" s="4"/>
      <c r="B33" s="4" t="str">
        <f>A18</f>
        <v>Productivity Losses</v>
      </c>
      <c r="C33" s="59">
        <f>D21</f>
        <v>272170.7472</v>
      </c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 t="s">
        <v>88</v>
      </c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</sheetData>
  <mergeCells count="4">
    <mergeCell ref="D26:F26"/>
    <mergeCell ref="E8:H11"/>
    <mergeCell ref="F12:H12"/>
    <mergeCell ref="F13:G13"/>
  </mergeCells>
  <hyperlinks>
    <hyperlink ref="E23" r:id="rId1" display="www.bls.gov/cpi/home.htm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H52"/>
  <sheetViews>
    <sheetView workbookViewId="0" topLeftCell="A1">
      <selection activeCell="H17" sqref="H17"/>
    </sheetView>
  </sheetViews>
  <sheetFormatPr defaultColWidth="9.140625" defaultRowHeight="12.75"/>
  <cols>
    <col min="1" max="1" width="22.7109375" style="0" customWidth="1"/>
    <col min="2" max="2" width="11.7109375" style="0" customWidth="1"/>
    <col min="3" max="3" width="11.7109375" style="0" hidden="1" customWidth="1"/>
    <col min="4" max="4" width="1.7109375" style="0" customWidth="1"/>
    <col min="5" max="5" width="11.7109375" style="0" customWidth="1"/>
    <col min="6" max="6" width="11.7109375" style="0" hidden="1" customWidth="1"/>
    <col min="7" max="7" width="20.7109375" style="0" customWidth="1"/>
  </cols>
  <sheetData>
    <row r="1" spans="1:8" ht="12.75">
      <c r="A1" s="126" t="s">
        <v>186</v>
      </c>
      <c r="B1" s="4"/>
      <c r="C1" s="4"/>
      <c r="D1" s="4"/>
      <c r="E1" s="4"/>
      <c r="F1" s="4"/>
      <c r="G1" s="4"/>
      <c r="H1" s="4"/>
    </row>
    <row r="2" spans="1:8" ht="12.75">
      <c r="A2" s="51" t="s">
        <v>255</v>
      </c>
      <c r="B2" s="314">
        <v>44</v>
      </c>
      <c r="C2" s="4"/>
      <c r="D2" s="4"/>
      <c r="E2" s="4"/>
      <c r="F2" s="4"/>
      <c r="G2" s="4"/>
      <c r="H2" s="4"/>
    </row>
    <row r="3" spans="1:8" ht="12.75">
      <c r="A3" s="51" t="s">
        <v>256</v>
      </c>
      <c r="B3" s="51" t="s">
        <v>19</v>
      </c>
      <c r="C3" s="4"/>
      <c r="D3" s="4"/>
      <c r="E3" s="4"/>
      <c r="F3" s="4"/>
      <c r="G3" s="4"/>
      <c r="H3" s="4"/>
    </row>
    <row r="4" spans="1:8" ht="12.75">
      <c r="A4" s="276"/>
      <c r="B4" s="278"/>
      <c r="C4" s="4"/>
      <c r="D4" s="4"/>
      <c r="E4" s="4"/>
      <c r="F4" s="4"/>
      <c r="G4" s="4"/>
      <c r="H4" s="277"/>
    </row>
    <row r="5" spans="1:8" ht="12.75">
      <c r="A5" s="276"/>
      <c r="B5" s="278"/>
      <c r="C5" s="4"/>
      <c r="D5" s="4"/>
      <c r="E5" s="4"/>
      <c r="F5" s="4"/>
      <c r="G5" s="4"/>
      <c r="H5" s="277"/>
    </row>
    <row r="6" spans="1:8" ht="12.75">
      <c r="A6" s="276"/>
      <c r="B6" s="278"/>
      <c r="C6" s="4"/>
      <c r="D6" s="4"/>
      <c r="E6" s="4"/>
      <c r="F6" s="4"/>
      <c r="G6" s="4"/>
      <c r="H6" s="277"/>
    </row>
    <row r="7" spans="1:8" ht="12.75">
      <c r="A7" s="276"/>
      <c r="B7" s="278"/>
      <c r="C7" s="4"/>
      <c r="D7" s="4"/>
      <c r="E7" s="4"/>
      <c r="F7" s="4"/>
      <c r="G7" s="4"/>
      <c r="H7" s="277"/>
    </row>
    <row r="8" spans="1:8" ht="12.75">
      <c r="A8" s="276"/>
      <c r="B8" s="278"/>
      <c r="C8" s="4"/>
      <c r="D8" s="4"/>
      <c r="E8" s="4"/>
      <c r="F8" s="4"/>
      <c r="G8" s="4"/>
      <c r="H8" s="277"/>
    </row>
    <row r="9" spans="1:8" ht="12.75">
      <c r="A9" s="276"/>
      <c r="B9" s="278"/>
      <c r="C9" s="4"/>
      <c r="D9" s="4"/>
      <c r="E9" s="4"/>
      <c r="F9" s="4"/>
      <c r="G9" s="4"/>
      <c r="H9" s="277"/>
    </row>
    <row r="10" spans="1:8" ht="12.75">
      <c r="A10" s="59">
        <f>-B23</f>
        <v>438400.68639059074</v>
      </c>
      <c r="B10" s="278"/>
      <c r="C10" s="4"/>
      <c r="D10" s="4"/>
      <c r="E10" s="4" t="s">
        <v>110</v>
      </c>
      <c r="F10" s="4"/>
      <c r="G10" s="4"/>
      <c r="H10" s="277"/>
    </row>
    <row r="11" spans="1:8" ht="12.75">
      <c r="A11" s="276"/>
      <c r="B11" s="278"/>
      <c r="C11" s="4"/>
      <c r="D11" s="4"/>
      <c r="E11" s="4"/>
      <c r="F11" s="4"/>
      <c r="G11" s="4"/>
      <c r="H11" s="277"/>
    </row>
    <row r="12" spans="1:8" ht="12.75">
      <c r="A12" s="276"/>
      <c r="B12" s="278"/>
      <c r="C12" s="4"/>
      <c r="D12" s="4"/>
      <c r="E12" s="4"/>
      <c r="F12" s="4"/>
      <c r="G12" s="4"/>
      <c r="H12" s="277"/>
    </row>
    <row r="13" spans="1:8" ht="12.75">
      <c r="A13" s="276"/>
      <c r="B13" s="278"/>
      <c r="C13" s="4"/>
      <c r="D13" s="4"/>
      <c r="E13" s="4"/>
      <c r="F13" s="4"/>
      <c r="G13" s="4"/>
      <c r="H13" s="277"/>
    </row>
    <row r="14" spans="1:8" ht="12.75">
      <c r="A14" s="276"/>
      <c r="B14" s="278"/>
      <c r="C14" s="4"/>
      <c r="D14" s="4"/>
      <c r="E14" s="4"/>
      <c r="F14" s="4"/>
      <c r="G14" s="4"/>
      <c r="H14" s="277"/>
    </row>
    <row r="15" spans="1:8" ht="12.75">
      <c r="A15" s="276"/>
      <c r="B15" s="278"/>
      <c r="C15" s="4"/>
      <c r="D15" s="4"/>
      <c r="E15" s="4"/>
      <c r="F15" s="4"/>
      <c r="G15" s="4"/>
      <c r="H15" s="277"/>
    </row>
    <row r="16" spans="1:8" ht="12.75">
      <c r="A16" s="276"/>
      <c r="B16" s="278"/>
      <c r="C16" s="4"/>
      <c r="D16" s="4"/>
      <c r="E16" s="4"/>
      <c r="F16" s="4"/>
      <c r="G16" s="4"/>
      <c r="H16" s="277"/>
    </row>
    <row r="17" spans="1:8" ht="12.75">
      <c r="A17" s="16"/>
      <c r="B17" s="374"/>
      <c r="C17" s="374"/>
      <c r="D17" s="4"/>
      <c r="E17" s="375"/>
      <c r="F17" s="375"/>
      <c r="G17" s="4"/>
      <c r="H17" s="4"/>
    </row>
    <row r="18" spans="1:8" ht="12.75">
      <c r="A18" s="16" t="s">
        <v>22</v>
      </c>
      <c r="B18" s="324" t="s">
        <v>266</v>
      </c>
      <c r="C18" s="108" t="e">
        <f>'17Discounting'!C2</f>
        <v>#REF!</v>
      </c>
      <c r="D18" s="4"/>
      <c r="E18" s="41" t="s">
        <v>199</v>
      </c>
      <c r="F18" s="41" t="s">
        <v>52</v>
      </c>
      <c r="G18" s="4"/>
      <c r="H18" s="4"/>
    </row>
    <row r="19" spans="1:8" ht="12.75">
      <c r="A19" s="4" t="s">
        <v>15</v>
      </c>
      <c r="B19" s="113">
        <f>(B2-17)*8InterventionCost!G6/39</f>
        <v>378.0000000000001</v>
      </c>
      <c r="C19" s="113" t="e">
        <f>#REF!</f>
        <v>#REF!</v>
      </c>
      <c r="D19" s="4"/>
      <c r="E19" s="59">
        <f>8InterventionCost!G6</f>
        <v>546.0000000000001</v>
      </c>
      <c r="F19" s="4"/>
      <c r="G19" s="4"/>
      <c r="H19" s="4"/>
    </row>
    <row r="20" spans="1:8" ht="12.75">
      <c r="A20" s="4" t="s">
        <v>237</v>
      </c>
      <c r="B20" s="173">
        <f>-('12Schedule'!D7+'12Schedule'!D5)*('11DecisionTree'!L27-'11DecisionTree'!L4)*($B$2-24)</f>
        <v>-661.3632305906738</v>
      </c>
      <c r="C20" s="172" t="e">
        <f>'17Discounting'!C8</f>
        <v>#REF!</v>
      </c>
      <c r="D20" s="4"/>
      <c r="E20" s="59">
        <f>IF(1EllensCare!J29=TRUE,1EllensCare!C18,0)*-1</f>
        <v>-2321500</v>
      </c>
      <c r="F20" s="4"/>
      <c r="G20" s="4"/>
      <c r="H20" s="4"/>
    </row>
    <row r="21" spans="1:8" ht="12.75">
      <c r="A21" s="4" t="s">
        <v>236</v>
      </c>
      <c r="B21" s="187">
        <f>-('12Schedule'!D9+'12Schedule'!D11)*('11DecisionTree'!L30-'11DecisionTree'!L7)*($B$2-24)</f>
        <v>-2644.1276400000006</v>
      </c>
      <c r="C21" s="186" t="e">
        <f>'17Discounting'!C9</f>
        <v>#REF!</v>
      </c>
      <c r="D21" s="4"/>
      <c r="E21" s="59">
        <f>IF(1EllensCare!J29=FALSE,1EllensCare!C18,0)*-1</f>
        <v>0</v>
      </c>
      <c r="F21" s="189">
        <v>1</v>
      </c>
      <c r="G21" s="4"/>
      <c r="H21" s="4"/>
    </row>
    <row r="22" spans="1:8" ht="13.5" thickBot="1">
      <c r="A22" s="4" t="s">
        <v>198</v>
      </c>
      <c r="B22" s="281">
        <f>-('13NoiseSchedule'!D21)*('11DecisionTree'!L33-'11DecisionTree'!L10)*($B$2-24)</f>
        <v>-435473.19552000007</v>
      </c>
      <c r="C22" s="195" t="e">
        <f>'17Discounting'!C11</f>
        <v>#REF!</v>
      </c>
      <c r="D22" s="4"/>
      <c r="E22" s="149">
        <v>0</v>
      </c>
      <c r="F22" s="149"/>
      <c r="G22" s="4"/>
      <c r="H22" s="4"/>
    </row>
    <row r="23" spans="1:8" ht="12.75">
      <c r="A23" s="4" t="s">
        <v>25</v>
      </c>
      <c r="B23" s="59">
        <f>SUM(B19:B22)</f>
        <v>-438400.68639059074</v>
      </c>
      <c r="C23" s="59" t="e">
        <f>'17Discounting'!C12</f>
        <v>#REF!</v>
      </c>
      <c r="D23" s="4"/>
      <c r="E23" s="59">
        <f>SUM(E19:E22)</f>
        <v>-2320954</v>
      </c>
      <c r="F23" s="59">
        <f>SUM(F19:F22)</f>
        <v>1</v>
      </c>
      <c r="G23" s="4"/>
      <c r="H23" s="4"/>
    </row>
    <row r="24" spans="1:8" ht="12.75">
      <c r="A24" s="16" t="s">
        <v>24</v>
      </c>
      <c r="B24" s="4"/>
      <c r="C24" s="4"/>
      <c r="D24" s="4"/>
      <c r="E24" s="4"/>
      <c r="F24" s="4"/>
      <c r="G24" s="4"/>
      <c r="H24" s="4"/>
    </row>
    <row r="25" spans="1:8" ht="12.75">
      <c r="A25" s="4" t="s">
        <v>237</v>
      </c>
      <c r="B25" s="279">
        <f>('11DecisionTree'!L27-'11DecisionTree'!L4)*($B$2-24)</f>
        <v>0.0009231295336787567</v>
      </c>
      <c r="C25" s="174" t="e">
        <f>'17Discounting'!C15</f>
        <v>#REF!</v>
      </c>
      <c r="D25" s="4"/>
      <c r="E25" s="274">
        <f>IF(1EllensCare!J29=TRUE,1,0)</f>
        <v>1</v>
      </c>
      <c r="F25" s="4"/>
      <c r="G25" s="4"/>
      <c r="H25" s="4"/>
    </row>
    <row r="26" spans="1:8" ht="12.75">
      <c r="A26" s="4" t="s">
        <v>236</v>
      </c>
      <c r="B26" s="282">
        <f>('11DecisionTree'!L30-'11DecisionTree'!L7)*($B$2-24)</f>
        <v>0.07812000000000001</v>
      </c>
      <c r="C26" s="190" t="e">
        <f>'17Discounting'!C16</f>
        <v>#REF!</v>
      </c>
      <c r="D26" s="4"/>
      <c r="E26" s="274">
        <f>IF(1EllensCare!J29=FALSE,1,0)</f>
        <v>0</v>
      </c>
      <c r="F26" s="189">
        <v>1</v>
      </c>
      <c r="G26" s="4"/>
      <c r="H26" s="4"/>
    </row>
    <row r="27" spans="1:8" ht="13.5" thickBot="1">
      <c r="A27" s="4" t="s">
        <v>198</v>
      </c>
      <c r="B27" s="283">
        <f>('11DecisionTree'!L33-'11DecisionTree'!L10)*($B$2-24)</f>
        <v>1.6000000000000003</v>
      </c>
      <c r="C27" s="193" t="e">
        <f>'17Discounting'!C18</f>
        <v>#REF!</v>
      </c>
      <c r="D27" s="4"/>
      <c r="E27" s="17">
        <v>1</v>
      </c>
      <c r="F27" s="17"/>
      <c r="G27" s="4"/>
      <c r="H27" s="4"/>
    </row>
    <row r="28" spans="1:8" ht="12.75">
      <c r="A28" s="4" t="s">
        <v>69</v>
      </c>
      <c r="B28" s="146">
        <f>SUM(B25:B27)</f>
        <v>1.6790431295336792</v>
      </c>
      <c r="C28" s="146" t="e">
        <f>SUM(C25:C27)</f>
        <v>#REF!</v>
      </c>
      <c r="D28" s="4"/>
      <c r="E28" s="119">
        <f>SUM(E25:E27)</f>
        <v>2</v>
      </c>
      <c r="F28" s="119">
        <f>SUM(F25:F27)</f>
        <v>1</v>
      </c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16" t="s">
        <v>63</v>
      </c>
      <c r="B30" s="25">
        <f>B23/B28</f>
        <v>-261101.5039931391</v>
      </c>
      <c r="C30" s="25" t="e">
        <f>C23/C28</f>
        <v>#REF!</v>
      </c>
      <c r="D30" s="4"/>
      <c r="E30" s="25">
        <f>E23/E28</f>
        <v>-1160477</v>
      </c>
      <c r="F30" s="25">
        <f>-F23/F28</f>
        <v>-1</v>
      </c>
      <c r="G30" s="4"/>
      <c r="H30" s="4"/>
    </row>
    <row r="31" spans="1:8" ht="12.75">
      <c r="A31" s="16"/>
      <c r="B31" s="376"/>
      <c r="C31" s="376"/>
      <c r="D31" s="4"/>
      <c r="E31" s="275" t="s">
        <v>26</v>
      </c>
      <c r="F31" s="275"/>
      <c r="G31" s="4"/>
      <c r="H31" s="4"/>
    </row>
    <row r="32" spans="1:8" ht="15.75">
      <c r="A32" s="377" t="s">
        <v>284</v>
      </c>
      <c r="B32" s="377"/>
      <c r="C32" s="377"/>
      <c r="D32" s="377"/>
      <c r="E32" s="377"/>
      <c r="F32" s="377"/>
      <c r="G32" s="377"/>
      <c r="H32" s="313"/>
    </row>
    <row r="33" spans="1:8" ht="16.5" thickBot="1">
      <c r="A33" s="285"/>
      <c r="B33" s="284"/>
      <c r="C33" s="284"/>
      <c r="D33" s="284"/>
      <c r="E33" s="196" t="s">
        <v>110</v>
      </c>
      <c r="F33" s="284"/>
      <c r="G33" s="315" t="str">
        <f>IF(E10=E33,"Correct!","Try again.")</f>
        <v>Correct!</v>
      </c>
      <c r="H33" s="197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56"/>
      <c r="B35" s="150"/>
      <c r="C35" s="150"/>
      <c r="D35" s="150"/>
      <c r="E35" s="150"/>
      <c r="F35" s="4"/>
      <c r="G35" s="4"/>
      <c r="H35" s="4"/>
    </row>
    <row r="36" spans="1:8" ht="12.75">
      <c r="A36" s="56"/>
      <c r="B36" s="53"/>
      <c r="C36" s="53"/>
      <c r="D36" s="53"/>
      <c r="E36" s="53"/>
      <c r="F36" s="4"/>
      <c r="G36" s="4"/>
      <c r="H36" s="4"/>
    </row>
    <row r="37" spans="2:8" ht="12.75">
      <c r="B37" s="280"/>
      <c r="C37" s="4"/>
      <c r="D37" s="4"/>
      <c r="E37" s="4"/>
      <c r="F37" s="4"/>
      <c r="G37" s="4"/>
      <c r="H37" s="4"/>
    </row>
    <row r="38" spans="1:8" ht="12.75">
      <c r="A38" s="280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 t="s">
        <v>88</v>
      </c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mergeCells count="4">
    <mergeCell ref="B17:C17"/>
    <mergeCell ref="E17:F17"/>
    <mergeCell ref="B31:C31"/>
    <mergeCell ref="A32:G3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7"/>
  <sheetViews>
    <sheetView workbookViewId="0" topLeftCell="A1">
      <selection activeCell="J10" sqref="J10"/>
    </sheetView>
  </sheetViews>
  <sheetFormatPr defaultColWidth="9.140625" defaultRowHeight="12.75"/>
  <cols>
    <col min="1" max="1" width="15.7109375" style="0" customWidth="1"/>
    <col min="2" max="2" width="4.7109375" style="0" customWidth="1"/>
    <col min="7" max="7" width="12.7109375" style="0" customWidth="1"/>
  </cols>
  <sheetData>
    <row r="1" spans="1:9" ht="15">
      <c r="A1" s="216" t="s">
        <v>150</v>
      </c>
      <c r="B1" s="4"/>
      <c r="C1" s="4"/>
      <c r="D1" s="4"/>
      <c r="E1" s="4"/>
      <c r="F1" s="4"/>
      <c r="G1" s="4"/>
      <c r="H1" s="4"/>
      <c r="I1" s="4"/>
    </row>
    <row r="2" spans="1:9" ht="15">
      <c r="A2" s="326" t="s">
        <v>268</v>
      </c>
      <c r="B2" s="4"/>
      <c r="C2" s="4"/>
      <c r="D2" s="4"/>
      <c r="E2" s="4"/>
      <c r="F2" s="4"/>
      <c r="G2" s="4"/>
      <c r="H2" s="4"/>
      <c r="I2" s="4"/>
    </row>
    <row r="3" spans="1:9" ht="12.75">
      <c r="A3" s="133" t="s">
        <v>142</v>
      </c>
      <c r="B3" s="4"/>
      <c r="C3" s="4"/>
      <c r="D3" s="4"/>
      <c r="E3" s="4"/>
      <c r="F3" s="4"/>
      <c r="G3" s="4"/>
      <c r="H3" s="4"/>
      <c r="I3" s="4"/>
    </row>
    <row r="4" spans="1:9" ht="12.75">
      <c r="A4" s="127" t="s">
        <v>141</v>
      </c>
      <c r="B4" s="127" t="s">
        <v>137</v>
      </c>
      <c r="C4" s="4"/>
      <c r="D4" s="4"/>
      <c r="E4" s="144"/>
      <c r="F4" s="4"/>
      <c r="G4" s="4"/>
      <c r="H4" s="4"/>
      <c r="I4" s="4"/>
    </row>
    <row r="5" spans="1:9" ht="15.75">
      <c r="A5" s="220" t="s">
        <v>136</v>
      </c>
      <c r="B5" s="6">
        <v>165</v>
      </c>
      <c r="C5" s="16" t="str">
        <f>IF(B5=165,"This is Correct!","Try again!")</f>
        <v>This is Correct!</v>
      </c>
      <c r="D5" s="4"/>
      <c r="E5" s="4"/>
      <c r="F5" s="4"/>
      <c r="G5" s="4"/>
      <c r="H5" s="4"/>
      <c r="I5" s="4"/>
    </row>
    <row r="6" spans="1:9" ht="15.75">
      <c r="A6" s="220" t="s">
        <v>138</v>
      </c>
      <c r="B6" s="6">
        <v>110</v>
      </c>
      <c r="C6" s="16" t="str">
        <f>IF(B6=110,"This is Correct!","Try again!")</f>
        <v>This is Correct!</v>
      </c>
      <c r="D6" s="4"/>
      <c r="E6" s="4"/>
      <c r="F6" s="4"/>
      <c r="G6" s="4"/>
      <c r="H6" s="4"/>
      <c r="I6" s="4"/>
    </row>
    <row r="7" spans="1:9" ht="15.75">
      <c r="A7" s="220" t="s">
        <v>140</v>
      </c>
      <c r="B7" s="4">
        <v>109</v>
      </c>
      <c r="C7" s="4"/>
      <c r="D7" s="4"/>
      <c r="E7" s="4"/>
      <c r="F7" s="4"/>
      <c r="G7" s="4"/>
      <c r="H7" s="4"/>
      <c r="I7" s="4"/>
    </row>
    <row r="8" spans="1:9" ht="15.75">
      <c r="A8" s="220" t="s">
        <v>143</v>
      </c>
      <c r="B8" s="4">
        <v>100</v>
      </c>
      <c r="C8" s="4"/>
      <c r="D8" s="4"/>
      <c r="E8" s="4"/>
      <c r="F8" s="4"/>
      <c r="G8" s="4"/>
      <c r="H8" s="4"/>
      <c r="I8" s="4"/>
    </row>
    <row r="9" spans="1:9" ht="15.75">
      <c r="A9" s="220" t="s">
        <v>144</v>
      </c>
      <c r="B9" s="4">
        <v>99</v>
      </c>
      <c r="C9" s="4"/>
      <c r="D9" s="4"/>
      <c r="E9" s="4"/>
      <c r="F9" s="4"/>
      <c r="G9" s="4"/>
      <c r="H9" s="4"/>
      <c r="I9" s="4"/>
    </row>
    <row r="10" spans="1:9" ht="15.75">
      <c r="A10" s="220" t="s">
        <v>145</v>
      </c>
      <c r="B10" s="4">
        <v>99</v>
      </c>
      <c r="C10" s="4"/>
      <c r="D10" s="4"/>
      <c r="E10" s="4"/>
      <c r="F10" s="4"/>
      <c r="G10" s="4"/>
      <c r="H10" s="4"/>
      <c r="I10" s="4"/>
    </row>
    <row r="11" spans="1:9" ht="15.75">
      <c r="A11" s="220" t="s">
        <v>146</v>
      </c>
      <c r="B11" s="4">
        <v>99</v>
      </c>
      <c r="C11" s="4"/>
      <c r="D11" s="4"/>
      <c r="E11" s="4"/>
      <c r="F11" s="4"/>
      <c r="G11" s="4"/>
      <c r="H11" s="4"/>
      <c r="I11" s="4"/>
    </row>
    <row r="12" spans="1:9" ht="15.75">
      <c r="A12" s="220" t="s">
        <v>139</v>
      </c>
      <c r="B12" s="6">
        <v>96</v>
      </c>
      <c r="C12" s="16" t="str">
        <f>IF(B12=96,"This is Correct!","Try again!")</f>
        <v>This is Correct!</v>
      </c>
      <c r="D12" s="4"/>
      <c r="E12" s="4"/>
      <c r="F12" s="4"/>
      <c r="G12" s="4"/>
      <c r="H12" s="4"/>
      <c r="I12" s="4"/>
    </row>
    <row r="13" spans="1:9" ht="15.75">
      <c r="A13" s="220" t="s">
        <v>147</v>
      </c>
      <c r="B13" s="4">
        <v>93</v>
      </c>
      <c r="C13" s="4"/>
      <c r="D13" s="4"/>
      <c r="E13" s="4"/>
      <c r="F13" s="4"/>
      <c r="G13" s="4"/>
      <c r="H13" s="4"/>
      <c r="I13" s="4"/>
    </row>
    <row r="14" spans="1:9" ht="15.75">
      <c r="A14" s="220" t="s">
        <v>152</v>
      </c>
      <c r="B14" s="4">
        <v>90</v>
      </c>
      <c r="C14" s="4"/>
      <c r="D14" s="4"/>
      <c r="E14" s="4"/>
      <c r="F14" s="4"/>
      <c r="G14" s="4"/>
      <c r="H14" s="4"/>
      <c r="I14" s="4"/>
    </row>
    <row r="15" spans="1:9" ht="15.75">
      <c r="A15" s="221" t="s">
        <v>148</v>
      </c>
      <c r="B15" s="222">
        <v>86</v>
      </c>
      <c r="C15" s="222"/>
      <c r="D15" s="4"/>
      <c r="E15" s="4"/>
      <c r="F15" s="4"/>
      <c r="G15" s="4"/>
      <c r="H15" s="4"/>
      <c r="I15" s="4"/>
    </row>
    <row r="16" spans="1:9" ht="15.75">
      <c r="A16" s="349" t="s">
        <v>269</v>
      </c>
      <c r="B16" s="349"/>
      <c r="C16" s="349"/>
      <c r="D16" s="349"/>
      <c r="E16" s="349"/>
      <c r="F16" s="349"/>
      <c r="G16" s="349"/>
      <c r="H16" s="349"/>
      <c r="I16" s="349"/>
    </row>
    <row r="17" spans="1:9" ht="16.5" thickBot="1">
      <c r="A17" s="4"/>
      <c r="B17" s="4"/>
      <c r="C17" s="4"/>
      <c r="D17" s="196" t="s">
        <v>105</v>
      </c>
      <c r="E17" s="197" t="str">
        <f>IF(D17=D21,"Correct!","Try again.")</f>
        <v>Correct!</v>
      </c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 t="s">
        <v>105</v>
      </c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 t="s">
        <v>88</v>
      </c>
      <c r="B47" s="4"/>
      <c r="C47" s="4"/>
      <c r="D47" s="4"/>
      <c r="E47" s="4"/>
      <c r="F47" s="4"/>
      <c r="G47" s="4"/>
      <c r="H47" s="4"/>
      <c r="I47" s="4"/>
    </row>
  </sheetData>
  <mergeCells count="1">
    <mergeCell ref="A16:I16"/>
  </mergeCells>
  <hyperlinks>
    <hyperlink ref="A3" r:id="rId1" display="http://www.cdc.gov/niosh/topics/noise/abouthlp/noisemeter_flash/soundMeter_flash.html 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H50"/>
  <sheetViews>
    <sheetView workbookViewId="0" topLeftCell="A1">
      <selection activeCell="E3" sqref="E3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26" t="s">
        <v>99</v>
      </c>
      <c r="B1" s="4"/>
      <c r="C1" s="4"/>
      <c r="D1" s="4"/>
      <c r="E1" s="4"/>
      <c r="F1" s="4"/>
      <c r="G1" s="4"/>
      <c r="H1" s="4"/>
    </row>
    <row r="2" spans="1:8" ht="12.75">
      <c r="A2" s="16"/>
      <c r="B2" s="355" t="s">
        <v>23</v>
      </c>
      <c r="C2" s="355"/>
      <c r="D2" s="4"/>
      <c r="E2" s="355" t="s">
        <v>131</v>
      </c>
      <c r="F2" s="355"/>
      <c r="G2" s="4"/>
      <c r="H2" s="4"/>
    </row>
    <row r="3" spans="1:8" ht="12.75">
      <c r="A3" s="16" t="s">
        <v>22</v>
      </c>
      <c r="B3" s="108">
        <v>0</v>
      </c>
      <c r="C3" s="108" t="e">
        <f>'17Discounting'!C2</f>
        <v>#REF!</v>
      </c>
      <c r="D3" s="4"/>
      <c r="E3" s="41" t="s">
        <v>51</v>
      </c>
      <c r="F3" s="41" t="s">
        <v>52</v>
      </c>
      <c r="G3" s="4"/>
      <c r="H3" s="4"/>
    </row>
    <row r="4" spans="1:8" ht="12.75">
      <c r="A4" s="4" t="s">
        <v>15</v>
      </c>
      <c r="B4" s="113" t="e">
        <f>#REF!</f>
        <v>#REF!</v>
      </c>
      <c r="C4" s="113" t="e">
        <f>#REF!</f>
        <v>#REF!</v>
      </c>
      <c r="D4" s="152"/>
      <c r="E4" s="113" t="e">
        <f>#REF!</f>
        <v>#REF!</v>
      </c>
      <c r="F4" s="113" t="e">
        <f>#REF!</f>
        <v>#REF!</v>
      </c>
      <c r="G4" s="4"/>
      <c r="H4" s="4"/>
    </row>
    <row r="5" spans="1:8" ht="12.75">
      <c r="A5" s="4" t="s">
        <v>3</v>
      </c>
      <c r="B5" s="172" t="e">
        <f>'17Discounting'!B8</f>
        <v>#REF!</v>
      </c>
      <c r="C5" s="172" t="e">
        <f>'17Discounting'!C8</f>
        <v>#REF!</v>
      </c>
      <c r="D5" s="4"/>
      <c r="E5" s="59"/>
      <c r="F5" s="59"/>
      <c r="G5" s="4"/>
      <c r="H5" s="4"/>
    </row>
    <row r="6" spans="1:8" ht="12.75">
      <c r="A6" s="4" t="s">
        <v>10</v>
      </c>
      <c r="B6" s="186" t="e">
        <f>'17Discounting'!B9</f>
        <v>#REF!</v>
      </c>
      <c r="C6" s="186" t="e">
        <f>'17Discounting'!C9</f>
        <v>#REF!</v>
      </c>
      <c r="D6" s="4"/>
      <c r="E6" s="186" t="e">
        <f>#REF!</f>
        <v>#REF!</v>
      </c>
      <c r="F6" s="186" t="e">
        <f>#REF!</f>
        <v>#REF!</v>
      </c>
      <c r="G6" s="4"/>
      <c r="H6" s="4"/>
    </row>
    <row r="7" spans="1:8" ht="12.75">
      <c r="A7" s="4" t="s">
        <v>13</v>
      </c>
      <c r="B7" s="177" t="e">
        <f>'17Discounting'!B10</f>
        <v>#REF!</v>
      </c>
      <c r="C7" s="177" t="e">
        <f>'17Discounting'!C10</f>
        <v>#REF!</v>
      </c>
      <c r="D7" s="4"/>
      <c r="E7" s="4"/>
      <c r="F7" s="4"/>
      <c r="G7" s="4"/>
      <c r="H7" s="4"/>
    </row>
    <row r="8" spans="1:8" ht="13.5" thickBot="1">
      <c r="A8" s="4" t="s">
        <v>11</v>
      </c>
      <c r="B8" s="195" t="e">
        <f>'17Discounting'!B11</f>
        <v>#REF!</v>
      </c>
      <c r="C8" s="195" t="e">
        <f>'17Discounting'!C11</f>
        <v>#REF!</v>
      </c>
      <c r="D8" s="4"/>
      <c r="E8" s="149"/>
      <c r="F8" s="149"/>
      <c r="G8" s="4"/>
      <c r="H8" s="4"/>
    </row>
    <row r="9" spans="1:8" ht="12.75">
      <c r="A9" s="4" t="s">
        <v>25</v>
      </c>
      <c r="B9" s="59" t="e">
        <f>SUM(B4:B8)</f>
        <v>#REF!</v>
      </c>
      <c r="C9" s="59" t="e">
        <f>'17Discounting'!C12</f>
        <v>#REF!</v>
      </c>
      <c r="D9" s="4"/>
      <c r="E9" s="59" t="e">
        <f>SUM(E4:E8)</f>
        <v>#REF!</v>
      </c>
      <c r="F9" s="59" t="e">
        <f>SUM(F4:F8)</f>
        <v>#REF!</v>
      </c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16" t="s">
        <v>53</v>
      </c>
      <c r="B11" s="42" t="e">
        <f>-12*B4/(SUM(B5:B8)/'17Discounting'!C4)</f>
        <v>#REF!</v>
      </c>
      <c r="C11" s="27" t="s">
        <v>67</v>
      </c>
      <c r="D11" s="4"/>
      <c r="E11" s="45" t="e">
        <f>12*E4/(SUM(E5:E8)/'17Discounting'!C4)</f>
        <v>#REF!</v>
      </c>
      <c r="F11" s="44" t="e">
        <f>12*F4/(SUM(F5:F8)/'17Discounting'!C4)</f>
        <v>#REF!</v>
      </c>
      <c r="G11" s="4"/>
      <c r="H11" s="4"/>
    </row>
    <row r="12" spans="1:8" ht="12.75">
      <c r="A12" s="4"/>
      <c r="B12" s="4"/>
      <c r="C12" s="4"/>
      <c r="D12" s="4"/>
      <c r="E12" s="46" t="s">
        <v>67</v>
      </c>
      <c r="F12" s="47" t="s">
        <v>67</v>
      </c>
      <c r="G12" s="4"/>
      <c r="H12" s="4"/>
    </row>
    <row r="13" spans="1:8" ht="15.75">
      <c r="A13" s="367" t="s">
        <v>119</v>
      </c>
      <c r="B13" s="367"/>
      <c r="C13" s="367"/>
      <c r="D13" s="367"/>
      <c r="E13" s="367"/>
      <c r="F13" s="367"/>
      <c r="G13" s="367"/>
      <c r="H13" s="367"/>
    </row>
    <row r="14" spans="1:8" ht="16.5" thickBot="1">
      <c r="A14" s="205" t="s">
        <v>112</v>
      </c>
      <c r="B14" s="196" t="s">
        <v>105</v>
      </c>
      <c r="C14" s="197" t="b">
        <f>EXACT(B14,"yes")</f>
        <v>1</v>
      </c>
      <c r="D14" s="61"/>
      <c r="E14" s="61"/>
      <c r="F14" s="4"/>
      <c r="G14" s="4"/>
      <c r="H14" s="4"/>
    </row>
    <row r="15" spans="1:8" ht="12.75">
      <c r="A15" s="4"/>
      <c r="B15" s="4"/>
      <c r="C15" s="4"/>
      <c r="D15" s="4"/>
      <c r="E15" s="61"/>
      <c r="F15" s="4"/>
      <c r="G15" s="4"/>
      <c r="H15" s="4"/>
    </row>
    <row r="16" spans="1:8" ht="12.75">
      <c r="A16" s="4"/>
      <c r="B16" s="61"/>
      <c r="C16" s="61"/>
      <c r="D16" s="61"/>
      <c r="E16" s="61"/>
      <c r="F16" s="4"/>
      <c r="G16" s="4"/>
      <c r="H16" s="4"/>
    </row>
    <row r="17" spans="1:8" ht="12.75">
      <c r="A17" s="4"/>
      <c r="B17" s="56" t="s">
        <v>101</v>
      </c>
      <c r="C17" s="151" t="e">
        <f>$B$11</f>
        <v>#REF!</v>
      </c>
      <c r="D17" s="56"/>
      <c r="E17" s="61"/>
      <c r="F17" s="4"/>
      <c r="G17" s="4"/>
      <c r="H17" s="4"/>
    </row>
    <row r="18" spans="1:8" ht="12.75">
      <c r="A18" s="4"/>
      <c r="B18" s="56" t="s">
        <v>89</v>
      </c>
      <c r="C18" s="151" t="e">
        <f>E11</f>
        <v>#REF!</v>
      </c>
      <c r="D18" s="56"/>
      <c r="E18" s="4"/>
      <c r="F18" s="4"/>
      <c r="G18" s="4"/>
      <c r="H18" s="4"/>
    </row>
    <row r="19" spans="1:8" ht="12.75">
      <c r="A19" s="4"/>
      <c r="B19" s="56" t="s">
        <v>90</v>
      </c>
      <c r="C19" s="151" t="e">
        <f>F11</f>
        <v>#REF!</v>
      </c>
      <c r="D19" s="56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 t="s">
        <v>88</v>
      </c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</sheetData>
  <mergeCells count="3">
    <mergeCell ref="B2:C2"/>
    <mergeCell ref="E2:F2"/>
    <mergeCell ref="A13:H13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H49"/>
  <sheetViews>
    <sheetView workbookViewId="0" topLeftCell="A1">
      <selection activeCell="A16" sqref="A16"/>
    </sheetView>
  </sheetViews>
  <sheetFormatPr defaultColWidth="9.140625" defaultRowHeight="12.75"/>
  <cols>
    <col min="1" max="1" width="19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26" t="s">
        <v>100</v>
      </c>
      <c r="B1" s="4"/>
      <c r="C1" s="4"/>
      <c r="D1" s="4"/>
      <c r="E1" s="4"/>
      <c r="F1" s="4"/>
      <c r="G1" s="4"/>
      <c r="H1" s="4"/>
    </row>
    <row r="2" spans="1:8" ht="12.75">
      <c r="A2" s="16"/>
      <c r="B2" s="355" t="s">
        <v>23</v>
      </c>
      <c r="C2" s="355"/>
      <c r="D2" s="4"/>
      <c r="E2" s="355" t="s">
        <v>131</v>
      </c>
      <c r="F2" s="355"/>
      <c r="G2" s="4"/>
      <c r="H2" s="4"/>
    </row>
    <row r="3" spans="1:8" ht="12.75">
      <c r="A3" s="16" t="s">
        <v>22</v>
      </c>
      <c r="B3" s="108">
        <v>0</v>
      </c>
      <c r="C3" s="108" t="e">
        <f>'17Discounting'!C2</f>
        <v>#REF!</v>
      </c>
      <c r="D3" s="4"/>
      <c r="E3" s="41" t="s">
        <v>51</v>
      </c>
      <c r="F3" s="41" t="s">
        <v>52</v>
      </c>
      <c r="G3" s="4"/>
      <c r="H3" s="4"/>
    </row>
    <row r="4" spans="1:8" ht="12.75">
      <c r="A4" s="4" t="s">
        <v>15</v>
      </c>
      <c r="B4" s="113" t="e">
        <f>#REF!</f>
        <v>#REF!</v>
      </c>
      <c r="C4" s="113" t="e">
        <f>#REF!</f>
        <v>#REF!</v>
      </c>
      <c r="D4" s="4"/>
      <c r="E4" s="113" t="e">
        <f>#REF!</f>
        <v>#REF!</v>
      </c>
      <c r="F4" s="113" t="e">
        <f>#REF!</f>
        <v>#REF!</v>
      </c>
      <c r="G4" s="4"/>
      <c r="H4" s="4"/>
    </row>
    <row r="5" spans="1:8" ht="12.75">
      <c r="A5" s="4" t="s">
        <v>3</v>
      </c>
      <c r="B5" s="172" t="e">
        <f>'17Discounting'!B8</f>
        <v>#REF!</v>
      </c>
      <c r="C5" s="172" t="e">
        <f>'17Discounting'!C8</f>
        <v>#REF!</v>
      </c>
      <c r="D5" s="4"/>
      <c r="E5" s="59"/>
      <c r="F5" s="59"/>
      <c r="G5" s="4"/>
      <c r="H5" s="4"/>
    </row>
    <row r="6" spans="1:8" ht="12.75">
      <c r="A6" s="4" t="s">
        <v>10</v>
      </c>
      <c r="B6" s="186" t="e">
        <f>'17Discounting'!B9</f>
        <v>#REF!</v>
      </c>
      <c r="C6" s="186" t="e">
        <f>'17Discounting'!C9</f>
        <v>#REF!</v>
      </c>
      <c r="D6" s="4"/>
      <c r="E6" s="186" t="e">
        <f>#REF!</f>
        <v>#REF!</v>
      </c>
      <c r="F6" s="186" t="e">
        <f>#REF!</f>
        <v>#REF!</v>
      </c>
      <c r="G6" s="4"/>
      <c r="H6" s="4"/>
    </row>
    <row r="7" spans="1:8" ht="12.75">
      <c r="A7" s="4" t="s">
        <v>13</v>
      </c>
      <c r="B7" s="177" t="e">
        <f>'17Discounting'!B10</f>
        <v>#REF!</v>
      </c>
      <c r="C7" s="177" t="e">
        <f>'17Discounting'!C10</f>
        <v>#REF!</v>
      </c>
      <c r="D7" s="4"/>
      <c r="E7" s="4"/>
      <c r="F7" s="4"/>
      <c r="G7" s="4"/>
      <c r="H7" s="4"/>
    </row>
    <row r="8" spans="1:8" ht="13.5" thickBot="1">
      <c r="A8" s="4" t="s">
        <v>11</v>
      </c>
      <c r="B8" s="195" t="e">
        <f>'17Discounting'!B11</f>
        <v>#REF!</v>
      </c>
      <c r="C8" s="195" t="e">
        <f>'17Discounting'!C11</f>
        <v>#REF!</v>
      </c>
      <c r="D8" s="4"/>
      <c r="E8" s="149"/>
      <c r="F8" s="149"/>
      <c r="G8" s="4"/>
      <c r="H8" s="4"/>
    </row>
    <row r="9" spans="1:8" ht="12.75">
      <c r="A9" s="16" t="s">
        <v>64</v>
      </c>
      <c r="B9" s="4"/>
      <c r="C9" s="4"/>
      <c r="D9" s="4"/>
      <c r="E9" s="4"/>
      <c r="F9" s="4"/>
      <c r="G9" s="4"/>
      <c r="H9" s="4"/>
    </row>
    <row r="10" spans="1:8" ht="12.75">
      <c r="A10" s="4" t="s">
        <v>65</v>
      </c>
      <c r="B10" s="59" t="e">
        <f>-SUM(B5:B8)</f>
        <v>#REF!</v>
      </c>
      <c r="C10" s="59" t="e">
        <f>-SUM(C5:C8)</f>
        <v>#REF!</v>
      </c>
      <c r="D10" s="4"/>
      <c r="E10" s="59" t="e">
        <f>SUM(E5:E8)</f>
        <v>#REF!</v>
      </c>
      <c r="F10" s="59" t="e">
        <f>SUM(F5:F8)</f>
        <v>#REF!</v>
      </c>
      <c r="G10" s="4"/>
      <c r="H10" s="4"/>
    </row>
    <row r="11" spans="1:8" ht="13.5" thickBot="1">
      <c r="A11" s="4" t="s">
        <v>49</v>
      </c>
      <c r="B11" s="149" t="e">
        <f>B4</f>
        <v>#REF!</v>
      </c>
      <c r="C11" s="149" t="e">
        <f>C4</f>
        <v>#REF!</v>
      </c>
      <c r="D11" s="4"/>
      <c r="E11" s="149" t="e">
        <f>E4</f>
        <v>#REF!</v>
      </c>
      <c r="F11" s="149" t="e">
        <f>F4</f>
        <v>#REF!</v>
      </c>
      <c r="G11" s="4"/>
      <c r="H11" s="4"/>
    </row>
    <row r="12" spans="1:8" ht="12.75">
      <c r="A12" s="4" t="s">
        <v>66</v>
      </c>
      <c r="B12" s="112" t="e">
        <f>B10/B11</f>
        <v>#REF!</v>
      </c>
      <c r="C12" s="112" t="e">
        <f>C10/C11</f>
        <v>#REF!</v>
      </c>
      <c r="D12" s="15"/>
      <c r="E12" s="112" t="e">
        <f>E10/E11</f>
        <v>#REF!</v>
      </c>
      <c r="F12" s="112" t="e">
        <f>F10/F11</f>
        <v>#REF!</v>
      </c>
      <c r="G12" s="4"/>
      <c r="H12" s="4"/>
    </row>
    <row r="13" spans="1:8" ht="15.75">
      <c r="A13" s="367" t="s">
        <v>120</v>
      </c>
      <c r="B13" s="367"/>
      <c r="C13" s="367"/>
      <c r="D13" s="367"/>
      <c r="E13" s="367"/>
      <c r="F13" s="367"/>
      <c r="G13" s="367"/>
      <c r="H13" s="367"/>
    </row>
    <row r="14" spans="1:8" ht="16.5" thickBot="1">
      <c r="A14" s="365" t="s">
        <v>113</v>
      </c>
      <c r="B14" s="365"/>
      <c r="C14" s="365"/>
      <c r="D14" s="365"/>
      <c r="E14" s="365"/>
      <c r="F14" s="365"/>
      <c r="G14" s="196" t="s">
        <v>111</v>
      </c>
      <c r="H14" s="197" t="b">
        <f>EXACT(G14,"no")</f>
        <v>1</v>
      </c>
    </row>
    <row r="15" spans="1:8" ht="15.75">
      <c r="A15" s="215" t="s">
        <v>132</v>
      </c>
      <c r="B15" s="214"/>
      <c r="C15" s="214"/>
      <c r="D15" s="214"/>
      <c r="E15" s="214"/>
      <c r="F15" s="214"/>
      <c r="G15" s="203"/>
      <c r="H15" s="197"/>
    </row>
    <row r="16" spans="1:8" ht="16.5" thickBot="1">
      <c r="A16" s="205" t="s">
        <v>122</v>
      </c>
      <c r="B16" s="4"/>
      <c r="C16" s="4"/>
      <c r="D16" s="4"/>
      <c r="E16" s="4"/>
      <c r="F16" s="4"/>
      <c r="G16" s="196" t="s">
        <v>105</v>
      </c>
      <c r="H16" s="197" t="b">
        <f>EXACT(G16,"yes")</f>
        <v>1</v>
      </c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125">
        <f>B3</f>
        <v>0</v>
      </c>
      <c r="D18" s="125" t="e">
        <f>C3</f>
        <v>#REF!</v>
      </c>
      <c r="E18" s="4" t="str">
        <f>E3</f>
        <v>Farm</v>
      </c>
      <c r="F18" s="4" t="str">
        <f>F3</f>
        <v>Society</v>
      </c>
      <c r="G18" s="4"/>
      <c r="H18" s="4"/>
    </row>
    <row r="19" spans="1:8" ht="12.75">
      <c r="A19" s="4"/>
      <c r="B19" s="4" t="str">
        <f aca="true" t="shared" si="0" ref="B19:D20">A10</f>
        <v>Benefit </v>
      </c>
      <c r="C19" s="59" t="e">
        <f t="shared" si="0"/>
        <v>#REF!</v>
      </c>
      <c r="D19" s="59" t="e">
        <f t="shared" si="0"/>
        <v>#REF!</v>
      </c>
      <c r="E19" s="59" t="e">
        <f aca="true" t="shared" si="1" ref="E19:F21">E10</f>
        <v>#REF!</v>
      </c>
      <c r="F19" s="59" t="e">
        <f t="shared" si="1"/>
        <v>#REF!</v>
      </c>
      <c r="G19" s="4"/>
      <c r="H19" s="4"/>
    </row>
    <row r="20" spans="1:8" ht="12.75">
      <c r="A20" s="4"/>
      <c r="B20" s="4" t="str">
        <f t="shared" si="0"/>
        <v>Cost</v>
      </c>
      <c r="C20" s="59" t="e">
        <f t="shared" si="0"/>
        <v>#REF!</v>
      </c>
      <c r="D20" s="59" t="e">
        <f t="shared" si="0"/>
        <v>#REF!</v>
      </c>
      <c r="E20" s="59" t="e">
        <f t="shared" si="1"/>
        <v>#REF!</v>
      </c>
      <c r="F20" s="59" t="e">
        <f t="shared" si="1"/>
        <v>#REF!</v>
      </c>
      <c r="G20" s="4"/>
      <c r="H20" s="4"/>
    </row>
    <row r="21" spans="1:8" ht="12.75">
      <c r="A21" s="4"/>
      <c r="B21" s="4" t="s">
        <v>72</v>
      </c>
      <c r="C21" s="120" t="e">
        <f>B12</f>
        <v>#REF!</v>
      </c>
      <c r="D21" s="120" t="e">
        <f>C12</f>
        <v>#REF!</v>
      </c>
      <c r="E21" s="120" t="e">
        <f t="shared" si="1"/>
        <v>#REF!</v>
      </c>
      <c r="F21" s="120" t="e">
        <f t="shared" si="1"/>
        <v>#REF!</v>
      </c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 t="s">
        <v>88</v>
      </c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</sheetData>
  <mergeCells count="4">
    <mergeCell ref="B2:C2"/>
    <mergeCell ref="E2:F2"/>
    <mergeCell ref="A13:H13"/>
    <mergeCell ref="A14:F14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1"/>
  <sheetViews>
    <sheetView workbookViewId="0" topLeftCell="A1">
      <selection activeCell="J8" sqref="J8"/>
    </sheetView>
  </sheetViews>
  <sheetFormatPr defaultColWidth="9.140625" defaultRowHeight="12.75"/>
  <cols>
    <col min="1" max="1" width="28.7109375" style="0" customWidth="1"/>
    <col min="3" max="3" width="5.7109375" style="0" customWidth="1"/>
  </cols>
  <sheetData>
    <row r="1" spans="1:8" ht="15">
      <c r="A1" s="216" t="s">
        <v>149</v>
      </c>
      <c r="B1" s="4"/>
      <c r="C1" s="4"/>
      <c r="D1" s="4"/>
      <c r="E1" s="4"/>
      <c r="F1" s="4"/>
      <c r="G1" s="4"/>
      <c r="H1" s="4"/>
    </row>
    <row r="2" spans="1:8" ht="12.75" customHeight="1">
      <c r="A2" s="222" t="s">
        <v>206</v>
      </c>
      <c r="B2" s="127" t="s">
        <v>97</v>
      </c>
      <c r="C2" s="4"/>
      <c r="D2" s="350" t="s">
        <v>270</v>
      </c>
      <c r="E2" s="351"/>
      <c r="F2" s="351"/>
      <c r="G2" s="351"/>
      <c r="H2" s="351"/>
    </row>
    <row r="3" spans="1:8" ht="12.75" customHeight="1">
      <c r="A3" s="231" t="s">
        <v>139</v>
      </c>
      <c r="B3" s="115">
        <v>28670</v>
      </c>
      <c r="C3" s="4"/>
      <c r="D3" s="351"/>
      <c r="E3" s="351"/>
      <c r="F3" s="351"/>
      <c r="G3" s="351"/>
      <c r="H3" s="351"/>
    </row>
    <row r="4" spans="1:8" ht="12.75" customHeight="1">
      <c r="A4" s="225" t="s">
        <v>138</v>
      </c>
      <c r="B4" s="115">
        <v>1826</v>
      </c>
      <c r="C4" s="4"/>
      <c r="D4" s="351"/>
      <c r="E4" s="351"/>
      <c r="F4" s="351"/>
      <c r="G4" s="351"/>
      <c r="H4" s="351"/>
    </row>
    <row r="5" spans="1:8" ht="12.75">
      <c r="A5" s="290" t="s">
        <v>152</v>
      </c>
      <c r="B5" s="115">
        <v>5549</v>
      </c>
      <c r="C5" s="4"/>
      <c r="D5" s="351"/>
      <c r="E5" s="351"/>
      <c r="F5" s="351"/>
      <c r="G5" s="351"/>
      <c r="H5" s="351"/>
    </row>
    <row r="6" spans="1:8" ht="12.75">
      <c r="A6" s="224" t="s">
        <v>205</v>
      </c>
      <c r="B6" s="115">
        <v>7117</v>
      </c>
      <c r="C6" s="4"/>
      <c r="D6" s="351"/>
      <c r="E6" s="351"/>
      <c r="F6" s="351"/>
      <c r="G6" s="351"/>
      <c r="H6" s="351"/>
    </row>
    <row r="7" spans="1:8" ht="16.5" thickBot="1">
      <c r="A7" s="288" t="s">
        <v>208</v>
      </c>
      <c r="B7" s="115">
        <v>12188</v>
      </c>
      <c r="C7" s="4"/>
      <c r="D7" s="4"/>
      <c r="E7" s="352" t="s">
        <v>262</v>
      </c>
      <c r="F7" s="352"/>
      <c r="G7" s="197" t="str">
        <f>IF(E7=A3,"Correct!","Try again.")</f>
        <v>Correct!</v>
      </c>
      <c r="H7" s="4"/>
    </row>
    <row r="8" spans="1:8" ht="12.75">
      <c r="A8" s="289" t="s">
        <v>207</v>
      </c>
      <c r="B8" s="115">
        <f>B3*D36/D31</f>
        <v>24650.000000000007</v>
      </c>
      <c r="C8" s="4"/>
      <c r="D8" s="4"/>
      <c r="E8" s="4"/>
      <c r="F8" s="4"/>
      <c r="G8" s="4"/>
      <c r="H8" s="4"/>
    </row>
    <row r="9" spans="1:8" ht="12.75">
      <c r="A9" s="320" t="s">
        <v>219</v>
      </c>
      <c r="B9" s="248"/>
      <c r="C9" s="4"/>
      <c r="D9" s="4"/>
      <c r="E9" s="4"/>
      <c r="F9" s="4"/>
      <c r="G9" s="4"/>
      <c r="H9" s="4"/>
    </row>
    <row r="10" spans="1:8" ht="12.75">
      <c r="A10" s="16" t="s">
        <v>287</v>
      </c>
      <c r="B10" s="247">
        <f>1674+785</f>
        <v>2459</v>
      </c>
      <c r="C10" s="4"/>
      <c r="D10" s="4"/>
      <c r="E10" s="4"/>
      <c r="F10" s="4"/>
      <c r="G10" s="4"/>
      <c r="H10" s="4"/>
    </row>
    <row r="11" spans="1:8" ht="12.75">
      <c r="A11" s="16" t="s">
        <v>258</v>
      </c>
      <c r="B11" s="115">
        <f>2100+516</f>
        <v>2616</v>
      </c>
      <c r="C11" s="4"/>
      <c r="D11" s="4"/>
      <c r="E11" s="4"/>
      <c r="F11" s="4"/>
      <c r="G11" s="4"/>
      <c r="H11" s="4"/>
    </row>
    <row r="12" spans="1:8" ht="12.75">
      <c r="A12" s="16" t="s">
        <v>259</v>
      </c>
      <c r="B12" s="115">
        <v>1210</v>
      </c>
      <c r="C12" s="4"/>
      <c r="D12" s="4"/>
      <c r="E12" s="4"/>
      <c r="F12" s="4"/>
      <c r="G12" s="4"/>
      <c r="H12" s="4"/>
    </row>
    <row r="13" spans="1:8" ht="12.75">
      <c r="A13" s="16" t="s">
        <v>151</v>
      </c>
      <c r="B13" s="115">
        <v>5646</v>
      </c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5.75">
      <c r="A15" s="318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249"/>
      <c r="C19" s="249"/>
      <c r="D19" s="249"/>
      <c r="E19" s="4"/>
      <c r="F19" s="4"/>
      <c r="G19" s="4"/>
      <c r="H19" s="4"/>
    </row>
    <row r="20" spans="1:8" ht="12.75">
      <c r="A20" s="4"/>
      <c r="B20" s="249"/>
      <c r="C20" s="250" t="s">
        <v>153</v>
      </c>
      <c r="D20" s="249"/>
      <c r="E20" s="4"/>
      <c r="F20" s="4"/>
      <c r="G20" s="4"/>
      <c r="H20" s="4"/>
    </row>
    <row r="21" spans="1:8" ht="12.75">
      <c r="A21" s="4"/>
      <c r="B21" s="249" t="str">
        <f aca="true" t="shared" si="0" ref="B21:C24">A3</f>
        <v>Tractor</v>
      </c>
      <c r="C21" s="251">
        <f t="shared" si="0"/>
        <v>28670</v>
      </c>
      <c r="D21" s="249"/>
      <c r="E21" s="4"/>
      <c r="F21" s="4"/>
      <c r="G21" s="4"/>
      <c r="H21" s="4"/>
    </row>
    <row r="22" spans="1:8" ht="12.75">
      <c r="A22" s="4"/>
      <c r="B22" s="249" t="str">
        <f t="shared" si="0"/>
        <v>Chain saw</v>
      </c>
      <c r="C22" s="251">
        <f t="shared" si="0"/>
        <v>1826</v>
      </c>
      <c r="D22" s="249"/>
      <c r="E22" s="4"/>
      <c r="F22" s="4"/>
      <c r="G22" s="4"/>
      <c r="H22" s="4"/>
    </row>
    <row r="23" spans="1:8" ht="12.75">
      <c r="A23" s="4"/>
      <c r="B23" s="249" t="str">
        <f t="shared" si="0"/>
        <v>Combine</v>
      </c>
      <c r="C23" s="251">
        <f t="shared" si="0"/>
        <v>5549</v>
      </c>
      <c r="D23" s="249"/>
      <c r="E23" s="4"/>
      <c r="F23" s="4"/>
      <c r="G23" s="4"/>
      <c r="H23" s="4"/>
    </row>
    <row r="24" spans="1:8" ht="12.75">
      <c r="A24" s="4"/>
      <c r="B24" s="249" t="str">
        <f t="shared" si="0"/>
        <v>Grain dryer</v>
      </c>
      <c r="C24" s="251">
        <f t="shared" si="0"/>
        <v>7117</v>
      </c>
      <c r="D24" s="249"/>
      <c r="E24" s="4"/>
      <c r="F24" s="4"/>
      <c r="G24" s="4"/>
      <c r="H24" s="4"/>
    </row>
    <row r="25" spans="1:8" ht="12.75">
      <c r="A25" s="4"/>
      <c r="B25" s="249" t="str">
        <f>A7</f>
        <v>Other agricultural</v>
      </c>
      <c r="C25" s="251">
        <f>B7</f>
        <v>12188</v>
      </c>
      <c r="D25" s="249"/>
      <c r="E25" s="4"/>
      <c r="F25" s="4"/>
      <c r="G25" s="4"/>
      <c r="H25" s="4"/>
    </row>
    <row r="26" spans="1:8" ht="12.75">
      <c r="A26" s="4"/>
      <c r="B26" s="249" t="str">
        <f>A8</f>
        <v>Other occupational</v>
      </c>
      <c r="C26" s="251">
        <f>B8</f>
        <v>24650.000000000007</v>
      </c>
      <c r="D26" s="249"/>
      <c r="E26" s="4"/>
      <c r="F26" s="4"/>
      <c r="G26" s="4"/>
      <c r="H26" s="4"/>
    </row>
    <row r="27" spans="1:8" ht="12.75">
      <c r="A27" s="4"/>
      <c r="B27" s="249"/>
      <c r="C27" s="251">
        <f>SUM(C21:C26)</f>
        <v>80000</v>
      </c>
      <c r="D27" s="249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137" t="s">
        <v>201</v>
      </c>
      <c r="C30" s="137" t="s">
        <v>202</v>
      </c>
      <c r="D30" s="137" t="s">
        <v>203</v>
      </c>
      <c r="E30" s="137" t="s">
        <v>204</v>
      </c>
      <c r="F30" s="4"/>
      <c r="G30" s="4"/>
      <c r="H30" s="4"/>
    </row>
    <row r="31" spans="1:8" ht="12.75">
      <c r="A31" s="4"/>
      <c r="B31" s="137">
        <v>28</v>
      </c>
      <c r="C31" s="286">
        <f>B3/B31</f>
        <v>1023.9285714285714</v>
      </c>
      <c r="D31" s="286">
        <f>(480/2000)*C31*(B31/40)</f>
        <v>172.01999999999998</v>
      </c>
      <c r="E31" s="287">
        <f>D31/480</f>
        <v>0.35837499999999994</v>
      </c>
      <c r="F31" s="4"/>
      <c r="G31" s="4"/>
      <c r="H31" s="4"/>
    </row>
    <row r="32" spans="1:8" ht="12.75">
      <c r="A32" s="4"/>
      <c r="B32" s="137">
        <v>19.7</v>
      </c>
      <c r="C32" s="286">
        <f>B4/B32</f>
        <v>92.69035532994924</v>
      </c>
      <c r="D32" s="286">
        <f aca="true" t="shared" si="1" ref="D32:D40">(480/2000)*C32*(B32/40)</f>
        <v>10.956</v>
      </c>
      <c r="E32" s="287">
        <f aca="true" t="shared" si="2" ref="E32:E42">D32/480</f>
        <v>0.022824999999999998</v>
      </c>
      <c r="F32" s="4"/>
      <c r="G32" s="4"/>
      <c r="H32" s="4"/>
    </row>
    <row r="33" spans="1:8" ht="12.75">
      <c r="A33" s="4"/>
      <c r="B33" s="137">
        <v>19.5</v>
      </c>
      <c r="C33" s="286">
        <f>B5/B33</f>
        <v>284.56410256410254</v>
      </c>
      <c r="D33" s="286">
        <f t="shared" si="1"/>
        <v>33.294</v>
      </c>
      <c r="E33" s="287">
        <f t="shared" si="2"/>
        <v>0.0693625</v>
      </c>
      <c r="F33" s="4"/>
      <c r="G33" s="4"/>
      <c r="H33" s="4"/>
    </row>
    <row r="34" spans="1:8" ht="12.75">
      <c r="A34" s="4"/>
      <c r="B34" s="137">
        <v>14.9</v>
      </c>
      <c r="C34" s="286">
        <f>B6/B34</f>
        <v>477.65100671140937</v>
      </c>
      <c r="D34" s="286">
        <f>(480/2000)*C34*(B34/40)</f>
        <v>42.70199999999999</v>
      </c>
      <c r="E34" s="287">
        <f t="shared" si="2"/>
        <v>0.08896249999999999</v>
      </c>
      <c r="F34" s="4"/>
      <c r="G34" s="4"/>
      <c r="H34" s="4"/>
    </row>
    <row r="35" spans="1:8" ht="12.75">
      <c r="A35" s="4"/>
      <c r="B35" s="137">
        <v>18.6</v>
      </c>
      <c r="C35" s="286">
        <f>B7/B35</f>
        <v>655.2688172043011</v>
      </c>
      <c r="D35" s="286">
        <f>(480/2000)*C35*(B35/40)</f>
        <v>73.128</v>
      </c>
      <c r="E35" s="287">
        <f t="shared" si="2"/>
        <v>0.15235</v>
      </c>
      <c r="F35" s="4"/>
      <c r="G35" s="4"/>
      <c r="H35" s="4"/>
    </row>
    <row r="36" spans="1:8" ht="12.75">
      <c r="A36" s="4"/>
      <c r="B36" s="137"/>
      <c r="C36" s="286"/>
      <c r="D36" s="286">
        <f>480-SUM(D31:D35)</f>
        <v>147.90000000000003</v>
      </c>
      <c r="E36" s="287">
        <f t="shared" si="2"/>
        <v>0.3081250000000001</v>
      </c>
      <c r="F36" s="4"/>
      <c r="G36" s="4"/>
      <c r="H36" s="4"/>
    </row>
    <row r="37" spans="1:8" ht="12.75">
      <c r="A37" s="4"/>
      <c r="B37" s="138"/>
      <c r="C37" s="286">
        <f>SUM(C31:C36)</f>
        <v>2534.1028532383334</v>
      </c>
      <c r="D37" s="286">
        <f>SUM(D31:D36)</f>
        <v>480</v>
      </c>
      <c r="E37" s="287">
        <f t="shared" si="2"/>
        <v>1</v>
      </c>
      <c r="F37" s="4"/>
      <c r="G37" s="4"/>
      <c r="H37" s="4"/>
    </row>
    <row r="38" spans="1:8" ht="12.75">
      <c r="A38" s="4"/>
      <c r="B38" s="137">
        <f>24+17</f>
        <v>41</v>
      </c>
      <c r="C38" s="286">
        <f>B10/B38</f>
        <v>59.97560975609756</v>
      </c>
      <c r="D38" s="286">
        <f t="shared" si="1"/>
        <v>14.754</v>
      </c>
      <c r="E38" s="287">
        <f t="shared" si="2"/>
        <v>0.030737499999999997</v>
      </c>
      <c r="F38" s="4"/>
      <c r="G38" s="4"/>
      <c r="H38" s="4"/>
    </row>
    <row r="39" spans="1:8" ht="12.75">
      <c r="A39" s="4"/>
      <c r="B39" s="137">
        <f>9.9+8.8</f>
        <v>18.700000000000003</v>
      </c>
      <c r="C39" s="286">
        <f>B11/B39</f>
        <v>139.89304812834223</v>
      </c>
      <c r="D39" s="286">
        <f>(480/2000)*C39*(B39/40)</f>
        <v>15.696000000000002</v>
      </c>
      <c r="E39" s="287">
        <f t="shared" si="2"/>
        <v>0.0327</v>
      </c>
      <c r="F39" s="4"/>
      <c r="G39" s="4"/>
      <c r="H39" s="4"/>
    </row>
    <row r="40" spans="1:8" ht="12.75">
      <c r="A40" s="4"/>
      <c r="B40" s="137">
        <v>4.2</v>
      </c>
      <c r="C40" s="286">
        <f>B12/B40</f>
        <v>288.0952380952381</v>
      </c>
      <c r="D40" s="286">
        <f t="shared" si="1"/>
        <v>7.260000000000001</v>
      </c>
      <c r="E40" s="287">
        <f t="shared" si="2"/>
        <v>0.015125000000000001</v>
      </c>
      <c r="F40" s="4"/>
      <c r="G40" s="4"/>
      <c r="H40" s="4"/>
    </row>
    <row r="41" spans="1:8" ht="12.75">
      <c r="A41" s="4"/>
      <c r="B41" s="137">
        <v>14.4</v>
      </c>
      <c r="C41" s="286">
        <f>B13/B41</f>
        <v>392.0833333333333</v>
      </c>
      <c r="D41" s="286">
        <f>(480/2000)*C41*(B41/40)</f>
        <v>33.876</v>
      </c>
      <c r="E41" s="287">
        <f t="shared" si="2"/>
        <v>0.070575</v>
      </c>
      <c r="F41" s="4"/>
      <c r="G41" s="4"/>
      <c r="H41" s="4"/>
    </row>
    <row r="42" spans="1:8" ht="12.75">
      <c r="A42" s="4"/>
      <c r="B42" s="137"/>
      <c r="C42" s="286">
        <f>SUM(C38:C41)</f>
        <v>880.0472293130113</v>
      </c>
      <c r="D42" s="286">
        <f>SUM(D38:D41)</f>
        <v>71.586</v>
      </c>
      <c r="E42" s="287">
        <f t="shared" si="2"/>
        <v>0.1491375</v>
      </c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 t="s">
        <v>88</v>
      </c>
      <c r="B51" s="4"/>
      <c r="C51" s="4"/>
      <c r="D51" s="4"/>
      <c r="E51" s="4"/>
      <c r="F51" s="4"/>
      <c r="G51" s="4"/>
      <c r="H51" s="4"/>
    </row>
  </sheetData>
  <mergeCells count="2">
    <mergeCell ref="D2:H6"/>
    <mergeCell ref="E7:F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I52"/>
  <sheetViews>
    <sheetView workbookViewId="0" topLeftCell="A1">
      <selection activeCell="J1" sqref="J1"/>
    </sheetView>
  </sheetViews>
  <sheetFormatPr defaultColWidth="9.140625" defaultRowHeight="12.75"/>
  <sheetData>
    <row r="1" spans="1:9" ht="15">
      <c r="A1" s="258" t="s">
        <v>213</v>
      </c>
      <c r="B1" s="259"/>
      <c r="C1" s="259"/>
      <c r="D1" s="259"/>
      <c r="E1" s="259"/>
      <c r="F1" s="259"/>
      <c r="G1" s="259"/>
      <c r="H1" s="259"/>
      <c r="I1" s="259"/>
    </row>
    <row r="2" spans="1:9" ht="12.75">
      <c r="A2" s="259"/>
      <c r="B2" s="259"/>
      <c r="C2" s="259"/>
      <c r="D2" s="259"/>
      <c r="E2" s="259"/>
      <c r="F2" s="259"/>
      <c r="G2" s="259"/>
      <c r="H2" s="259"/>
      <c r="I2" s="259"/>
    </row>
    <row r="3" spans="1:9" ht="12.75">
      <c r="A3" s="259"/>
      <c r="B3" s="259"/>
      <c r="C3" s="259"/>
      <c r="D3" s="259"/>
      <c r="E3" s="259"/>
      <c r="F3" s="259"/>
      <c r="G3" s="259"/>
      <c r="H3" s="259"/>
      <c r="I3" s="259"/>
    </row>
    <row r="4" spans="1:9" ht="12.75">
      <c r="A4" s="259"/>
      <c r="B4" s="259"/>
      <c r="C4" s="259"/>
      <c r="D4" s="259"/>
      <c r="E4" s="259"/>
      <c r="F4" s="259"/>
      <c r="G4" s="259"/>
      <c r="H4" s="259"/>
      <c r="I4" s="259"/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59"/>
      <c r="B6" s="259"/>
      <c r="C6" s="259"/>
      <c r="D6" s="259"/>
      <c r="E6" s="259"/>
      <c r="F6" s="259"/>
      <c r="G6" s="259"/>
      <c r="H6" s="259"/>
      <c r="I6" s="259"/>
    </row>
    <row r="7" spans="1:9" ht="12.75">
      <c r="A7" s="259"/>
      <c r="B7" s="259"/>
      <c r="C7" s="259"/>
      <c r="D7" s="259"/>
      <c r="E7" s="259"/>
      <c r="F7" s="259"/>
      <c r="G7" s="259"/>
      <c r="H7" s="259"/>
      <c r="I7" s="259"/>
    </row>
    <row r="8" spans="1:9" ht="12.75">
      <c r="A8" s="259"/>
      <c r="B8" s="259"/>
      <c r="C8" s="259"/>
      <c r="D8" s="259"/>
      <c r="E8" s="259"/>
      <c r="F8" s="259"/>
      <c r="G8" s="259"/>
      <c r="H8" s="259"/>
      <c r="I8" s="259"/>
    </row>
    <row r="9" spans="1:9" ht="12.75">
      <c r="A9" s="259"/>
      <c r="B9" s="259"/>
      <c r="C9" s="259"/>
      <c r="D9" s="259"/>
      <c r="E9" s="259"/>
      <c r="F9" s="259"/>
      <c r="G9" s="259"/>
      <c r="H9" s="259"/>
      <c r="I9" s="259"/>
    </row>
    <row r="10" spans="1:9" ht="12.75">
      <c r="A10" s="259"/>
      <c r="B10" s="259"/>
      <c r="C10" s="259"/>
      <c r="D10" s="259"/>
      <c r="E10" s="259"/>
      <c r="F10" s="259"/>
      <c r="G10" s="259"/>
      <c r="H10" s="259"/>
      <c r="I10" s="259"/>
    </row>
    <row r="11" spans="1:9" ht="12.75">
      <c r="A11" s="259"/>
      <c r="B11" s="259"/>
      <c r="C11" s="259"/>
      <c r="D11" s="259"/>
      <c r="E11" s="259"/>
      <c r="F11" s="259"/>
      <c r="G11" s="259"/>
      <c r="H11" s="259"/>
      <c r="I11" s="259"/>
    </row>
    <row r="12" spans="1:9" ht="12.75">
      <c r="A12" s="259"/>
      <c r="B12" s="259"/>
      <c r="C12" s="259"/>
      <c r="D12" s="259"/>
      <c r="E12" s="259"/>
      <c r="F12" s="259"/>
      <c r="G12" s="259"/>
      <c r="H12" s="259"/>
      <c r="I12" s="259"/>
    </row>
    <row r="13" spans="1:9" ht="12.7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9" ht="12.7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9" ht="12.75">
      <c r="A15" s="259"/>
      <c r="B15" s="259"/>
      <c r="C15" s="259"/>
      <c r="D15" s="259"/>
      <c r="E15" s="259"/>
      <c r="F15" s="259"/>
      <c r="G15" s="259"/>
      <c r="H15" s="259"/>
      <c r="I15" s="259"/>
    </row>
    <row r="16" spans="1:9" ht="12.75">
      <c r="A16" s="259"/>
      <c r="B16" s="259"/>
      <c r="C16" s="259"/>
      <c r="D16" s="259"/>
      <c r="E16" s="259"/>
      <c r="F16" s="259"/>
      <c r="G16" s="259"/>
      <c r="H16" s="259"/>
      <c r="I16" s="259"/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59"/>
      <c r="B18" s="259"/>
      <c r="C18" s="259"/>
      <c r="D18" s="259"/>
      <c r="E18" s="259"/>
      <c r="F18" s="259"/>
      <c r="G18" s="259"/>
      <c r="H18" s="259"/>
      <c r="I18" s="259"/>
    </row>
    <row r="19" spans="1:9" ht="12.75">
      <c r="A19" s="259"/>
      <c r="B19" s="259"/>
      <c r="C19" s="259"/>
      <c r="D19" s="259"/>
      <c r="E19" s="259"/>
      <c r="F19" s="259"/>
      <c r="G19" s="259"/>
      <c r="H19" s="259"/>
      <c r="I19" s="259"/>
    </row>
    <row r="20" spans="1:9" ht="12.75">
      <c r="A20" s="259"/>
      <c r="B20" s="259"/>
      <c r="C20" s="259"/>
      <c r="D20" s="259"/>
      <c r="E20" s="259"/>
      <c r="F20" s="259"/>
      <c r="G20" s="259"/>
      <c r="H20" s="259"/>
      <c r="I20" s="259"/>
    </row>
    <row r="21" spans="1:9" ht="12.75">
      <c r="A21" s="259"/>
      <c r="B21" s="259"/>
      <c r="C21" s="259"/>
      <c r="D21" s="259"/>
      <c r="E21" s="259"/>
      <c r="F21" s="259"/>
      <c r="G21" s="259"/>
      <c r="H21" s="259"/>
      <c r="I21" s="259"/>
    </row>
    <row r="22" spans="1:9" ht="12.75">
      <c r="A22" s="259"/>
      <c r="B22" s="259"/>
      <c r="C22" s="259"/>
      <c r="D22" s="259"/>
      <c r="E22" s="259"/>
      <c r="F22" s="259"/>
      <c r="G22" s="259"/>
      <c r="H22" s="259"/>
      <c r="I22" s="259"/>
    </row>
    <row r="23" spans="1:9" ht="12.75">
      <c r="A23" s="259"/>
      <c r="B23" s="259"/>
      <c r="C23" s="259"/>
      <c r="D23" s="259"/>
      <c r="E23" s="259"/>
      <c r="F23" s="259"/>
      <c r="G23" s="259"/>
      <c r="H23" s="259"/>
      <c r="I23" s="259"/>
    </row>
    <row r="24" spans="1:9" ht="12.75">
      <c r="A24" s="259"/>
      <c r="B24" s="259"/>
      <c r="C24" s="259"/>
      <c r="D24" s="259"/>
      <c r="E24" s="259"/>
      <c r="F24" s="259"/>
      <c r="G24" s="259"/>
      <c r="H24" s="259"/>
      <c r="I24" s="259"/>
    </row>
    <row r="25" spans="1:9" ht="12.75">
      <c r="A25" s="259"/>
      <c r="B25" s="259"/>
      <c r="C25" s="259"/>
      <c r="D25" s="259"/>
      <c r="E25" s="259"/>
      <c r="F25" s="259"/>
      <c r="G25" s="259"/>
      <c r="H25" s="259"/>
      <c r="I25" s="259"/>
    </row>
    <row r="26" spans="1:9" ht="12.75">
      <c r="A26" s="259"/>
      <c r="B26" s="259"/>
      <c r="C26" s="259"/>
      <c r="D26" s="259"/>
      <c r="E26" s="259"/>
      <c r="F26" s="259"/>
      <c r="G26" s="259"/>
      <c r="H26" s="259"/>
      <c r="I26" s="259"/>
    </row>
    <row r="27" spans="1:9" ht="12.75">
      <c r="A27" s="259"/>
      <c r="B27" s="259"/>
      <c r="C27" s="259"/>
      <c r="D27" s="259"/>
      <c r="E27" s="259"/>
      <c r="F27" s="259"/>
      <c r="G27" s="259"/>
      <c r="H27" s="259"/>
      <c r="I27" s="259"/>
    </row>
    <row r="28" spans="1:9" ht="12.75">
      <c r="A28" s="259"/>
      <c r="B28" s="259"/>
      <c r="C28" s="259"/>
      <c r="D28" s="259"/>
      <c r="E28" s="259"/>
      <c r="F28" s="259"/>
      <c r="G28" s="259"/>
      <c r="H28" s="259"/>
      <c r="I28" s="259"/>
    </row>
    <row r="29" spans="1:9" ht="12.75">
      <c r="A29" s="259"/>
      <c r="B29" s="259"/>
      <c r="C29" s="259"/>
      <c r="D29" s="259"/>
      <c r="E29" s="259"/>
      <c r="F29" s="259"/>
      <c r="G29" s="259"/>
      <c r="H29" s="259"/>
      <c r="I29" s="259"/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59"/>
      <c r="B31" s="259"/>
      <c r="C31" s="259"/>
      <c r="D31" s="259"/>
      <c r="E31" s="259"/>
      <c r="F31" s="259"/>
      <c r="G31" s="259"/>
      <c r="H31" s="259"/>
      <c r="I31" s="259"/>
    </row>
    <row r="32" spans="1:9" ht="12.75">
      <c r="A32" s="259"/>
      <c r="B32" s="259"/>
      <c r="C32" s="259"/>
      <c r="D32" s="259"/>
      <c r="E32" s="259"/>
      <c r="F32" s="259"/>
      <c r="G32" s="259"/>
      <c r="H32" s="259"/>
      <c r="I32" s="259"/>
    </row>
    <row r="33" spans="1:9" ht="12.75">
      <c r="A33" s="259"/>
      <c r="B33" s="259"/>
      <c r="C33" s="259"/>
      <c r="D33" s="259"/>
      <c r="E33" s="259"/>
      <c r="F33" s="259"/>
      <c r="G33" s="259"/>
      <c r="H33" s="259"/>
      <c r="I33" s="259"/>
    </row>
    <row r="34" spans="1:9" ht="12.75">
      <c r="A34" s="259"/>
      <c r="B34" s="259"/>
      <c r="C34" s="259"/>
      <c r="D34" s="259"/>
      <c r="E34" s="259"/>
      <c r="F34" s="259"/>
      <c r="G34" s="259"/>
      <c r="H34" s="259"/>
      <c r="I34" s="259"/>
    </row>
    <row r="35" spans="1:9" ht="12.75">
      <c r="A35" s="259"/>
      <c r="B35" s="259"/>
      <c r="C35" s="259"/>
      <c r="D35" s="259"/>
      <c r="E35" s="259"/>
      <c r="F35" s="259"/>
      <c r="G35" s="259"/>
      <c r="H35" s="259"/>
      <c r="I35" s="259"/>
    </row>
    <row r="36" spans="1:9" ht="12.75">
      <c r="A36" s="259"/>
      <c r="B36" s="259"/>
      <c r="C36" s="259"/>
      <c r="D36" s="259"/>
      <c r="E36" s="259"/>
      <c r="F36" s="259"/>
      <c r="G36" s="259"/>
      <c r="H36" s="259"/>
      <c r="I36" s="259"/>
    </row>
    <row r="37" spans="1:9" ht="12.75">
      <c r="A37" s="259"/>
      <c r="B37" s="259"/>
      <c r="C37" s="259"/>
      <c r="D37" s="259"/>
      <c r="E37" s="259"/>
      <c r="F37" s="259"/>
      <c r="G37" s="259"/>
      <c r="H37" s="259"/>
      <c r="I37" s="259"/>
    </row>
    <row r="38" spans="1:9" ht="12.75">
      <c r="A38" s="259"/>
      <c r="B38" s="259"/>
      <c r="C38" s="259"/>
      <c r="D38" s="259"/>
      <c r="E38" s="259"/>
      <c r="F38" s="259"/>
      <c r="G38" s="259"/>
      <c r="H38" s="259"/>
      <c r="I38" s="259"/>
    </row>
    <row r="39" spans="1:9" ht="12.75">
      <c r="A39" s="259"/>
      <c r="B39" s="259"/>
      <c r="C39" s="259"/>
      <c r="D39" s="259"/>
      <c r="E39" s="259"/>
      <c r="F39" s="259"/>
      <c r="G39" s="259"/>
      <c r="H39" s="259"/>
      <c r="I39" s="259"/>
    </row>
    <row r="40" spans="1:9" ht="12.75">
      <c r="A40" s="259"/>
      <c r="B40" s="259"/>
      <c r="C40" s="259"/>
      <c r="D40" s="259"/>
      <c r="E40" s="259"/>
      <c r="F40" s="259"/>
      <c r="G40" s="259"/>
      <c r="H40" s="259"/>
      <c r="I40" s="259"/>
    </row>
    <row r="41" spans="1:9" ht="12.75">
      <c r="A41" s="259"/>
      <c r="B41" s="259"/>
      <c r="C41" s="259"/>
      <c r="D41" s="259"/>
      <c r="E41" s="259"/>
      <c r="F41" s="259"/>
      <c r="G41" s="259"/>
      <c r="H41" s="259"/>
      <c r="I41" s="259"/>
    </row>
    <row r="42" spans="1:9" ht="12.75">
      <c r="A42" s="259"/>
      <c r="B42" s="259"/>
      <c r="C42" s="259"/>
      <c r="D42" s="259"/>
      <c r="E42" s="259"/>
      <c r="F42" s="259"/>
      <c r="G42" s="259"/>
      <c r="H42" s="259"/>
      <c r="I42" s="259"/>
    </row>
    <row r="43" spans="1:9" ht="12.75">
      <c r="A43" s="259"/>
      <c r="B43" s="259"/>
      <c r="C43" s="259"/>
      <c r="D43" s="259"/>
      <c r="E43" s="259"/>
      <c r="F43" s="259"/>
      <c r="G43" s="259"/>
      <c r="H43" s="259"/>
      <c r="I43" s="259"/>
    </row>
    <row r="44" spans="1:9" ht="12.75">
      <c r="A44" s="259"/>
      <c r="B44" s="259"/>
      <c r="C44" s="259"/>
      <c r="D44" s="259"/>
      <c r="E44" s="259"/>
      <c r="F44" s="259"/>
      <c r="G44" s="259"/>
      <c r="H44" s="259"/>
      <c r="I44" s="259"/>
    </row>
    <row r="45" spans="1:9" ht="12.75">
      <c r="A45" s="259"/>
      <c r="B45" s="259"/>
      <c r="C45" s="259"/>
      <c r="D45" s="259"/>
      <c r="E45" s="259"/>
      <c r="F45" s="259"/>
      <c r="G45" s="259"/>
      <c r="H45" s="259"/>
      <c r="I45" s="259"/>
    </row>
    <row r="46" spans="1:9" ht="12.75">
      <c r="A46" s="259"/>
      <c r="B46" s="259"/>
      <c r="C46" s="259"/>
      <c r="D46" s="259"/>
      <c r="E46" s="259"/>
      <c r="F46" s="259"/>
      <c r="G46" s="259"/>
      <c r="H46" s="259"/>
      <c r="I46" s="259"/>
    </row>
    <row r="47" spans="1:9" ht="12.75">
      <c r="A47" s="259"/>
      <c r="B47" s="259"/>
      <c r="C47" s="259"/>
      <c r="D47" s="259"/>
      <c r="E47" s="259"/>
      <c r="F47" s="259"/>
      <c r="G47" s="259"/>
      <c r="H47" s="259"/>
      <c r="I47" s="259"/>
    </row>
    <row r="48" spans="1:9" ht="12.75">
      <c r="A48" s="259"/>
      <c r="B48" s="259"/>
      <c r="C48" s="259"/>
      <c r="D48" s="259"/>
      <c r="E48" s="259"/>
      <c r="F48" s="259"/>
      <c r="G48" s="259"/>
      <c r="H48" s="259"/>
      <c r="I48" s="259"/>
    </row>
    <row r="49" spans="1:9" ht="12.75">
      <c r="A49" s="259"/>
      <c r="B49" s="259"/>
      <c r="C49" s="259"/>
      <c r="D49" s="259"/>
      <c r="E49" s="259"/>
      <c r="F49" s="259"/>
      <c r="G49" s="259"/>
      <c r="H49" s="259"/>
      <c r="I49" s="259"/>
    </row>
    <row r="50" spans="1:9" ht="12.75">
      <c r="A50" s="259"/>
      <c r="B50" s="259"/>
      <c r="C50" s="259"/>
      <c r="D50" s="259"/>
      <c r="E50" s="259"/>
      <c r="F50" s="259"/>
      <c r="G50" s="259"/>
      <c r="H50" s="259"/>
      <c r="I50" s="259"/>
    </row>
    <row r="51" spans="1:9" ht="12.75">
      <c r="A51" s="259"/>
      <c r="B51" s="259"/>
      <c r="C51" s="259"/>
      <c r="D51" s="259"/>
      <c r="E51" s="259"/>
      <c r="F51" s="259"/>
      <c r="G51" s="259"/>
      <c r="H51" s="259"/>
      <c r="I51" s="259"/>
    </row>
    <row r="52" spans="1:9" ht="12.75">
      <c r="A52" s="259"/>
      <c r="B52" s="259"/>
      <c r="C52" s="259"/>
      <c r="D52" s="259"/>
      <c r="E52" s="259"/>
      <c r="F52" s="259"/>
      <c r="G52" s="259"/>
      <c r="H52" s="259"/>
      <c r="I52" s="259"/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G94"/>
  <sheetViews>
    <sheetView workbookViewId="0" topLeftCell="A1">
      <selection activeCell="L1" sqref="L1"/>
    </sheetView>
  </sheetViews>
  <sheetFormatPr defaultColWidth="9.140625" defaultRowHeight="12.75"/>
  <cols>
    <col min="1" max="6" width="8.7109375" style="0" customWidth="1"/>
  </cols>
  <sheetData>
    <row r="1" spans="1:7" ht="15">
      <c r="A1" s="216" t="s">
        <v>209</v>
      </c>
      <c r="B1" s="253"/>
      <c r="C1" s="253"/>
      <c r="D1" s="253"/>
      <c r="E1" s="253"/>
      <c r="F1" s="253"/>
      <c r="G1" s="216"/>
    </row>
    <row r="2" spans="1:7" ht="12.75">
      <c r="A2" s="254"/>
      <c r="B2" s="254"/>
      <c r="C2" s="254"/>
      <c r="D2" s="254"/>
      <c r="E2" s="254"/>
      <c r="F2" s="254"/>
      <c r="G2" s="254"/>
    </row>
    <row r="3" spans="1:7" ht="12.75">
      <c r="A3" s="254"/>
      <c r="B3" s="254"/>
      <c r="C3" s="254"/>
      <c r="D3" s="254"/>
      <c r="E3" s="254"/>
      <c r="F3" s="254"/>
      <c r="G3" s="254"/>
    </row>
    <row r="4" spans="1:7" ht="12.75">
      <c r="A4" s="254"/>
      <c r="B4" s="254"/>
      <c r="C4" s="254"/>
      <c r="D4" s="254"/>
      <c r="E4" s="254"/>
      <c r="F4" s="254"/>
      <c r="G4" s="254"/>
    </row>
    <row r="5" spans="1:7" ht="12.75">
      <c r="A5" s="254"/>
      <c r="B5" s="254" t="s">
        <v>137</v>
      </c>
      <c r="C5" s="254" t="s">
        <v>210</v>
      </c>
      <c r="D5" s="254" t="s">
        <v>211</v>
      </c>
      <c r="E5" s="254"/>
      <c r="F5" s="254"/>
      <c r="G5" s="254"/>
    </row>
    <row r="6" spans="1:7" ht="12.75">
      <c r="A6" s="254" t="str">
        <f>3LifetimeExposures!A3</f>
        <v>Tractor</v>
      </c>
      <c r="B6" s="254">
        <f>2NoiseSources!B12</f>
        <v>96</v>
      </c>
      <c r="C6" s="255">
        <f>3LifetimeExposures!D31</f>
        <v>172.01999999999998</v>
      </c>
      <c r="D6" s="256">
        <f aca="true" t="shared" si="0" ref="D6:D11">C6/60</f>
        <v>2.8669999999999995</v>
      </c>
      <c r="E6" s="256">
        <f aca="true" t="shared" si="1" ref="E6:E11">E5+D6</f>
        <v>2.8669999999999995</v>
      </c>
      <c r="F6" s="255"/>
      <c r="G6" s="254"/>
    </row>
    <row r="7" spans="1:7" ht="12.75">
      <c r="A7" s="254" t="str">
        <f>3LifetimeExposures!A4</f>
        <v>Chain saw</v>
      </c>
      <c r="B7" s="254">
        <f>2NoiseSources!B6</f>
        <v>110</v>
      </c>
      <c r="C7" s="255">
        <f>3LifetimeExposures!D32</f>
        <v>10.956</v>
      </c>
      <c r="D7" s="256">
        <f t="shared" si="0"/>
        <v>0.18259999999999998</v>
      </c>
      <c r="E7" s="256">
        <f t="shared" si="1"/>
        <v>3.0495999999999994</v>
      </c>
      <c r="F7" s="255"/>
      <c r="G7" s="254"/>
    </row>
    <row r="8" spans="1:7" ht="12.75">
      <c r="A8" s="254" t="str">
        <f>3LifetimeExposures!A5</f>
        <v>Combine</v>
      </c>
      <c r="B8" s="254">
        <f>2NoiseSources!B14</f>
        <v>90</v>
      </c>
      <c r="C8" s="255">
        <f>3LifetimeExposures!D33</f>
        <v>33.294</v>
      </c>
      <c r="D8" s="256">
        <f t="shared" si="0"/>
        <v>0.5549</v>
      </c>
      <c r="E8" s="256">
        <f t="shared" si="1"/>
        <v>3.6044999999999994</v>
      </c>
      <c r="F8" s="255"/>
      <c r="G8" s="254"/>
    </row>
    <row r="9" spans="1:7" ht="12.75">
      <c r="A9" s="254" t="str">
        <f>3LifetimeExposures!A6</f>
        <v>Grain dryer</v>
      </c>
      <c r="B9" s="254">
        <f>2NoiseSources!B15</f>
        <v>86</v>
      </c>
      <c r="C9" s="255">
        <f>3LifetimeExposures!D34</f>
        <v>42.70199999999999</v>
      </c>
      <c r="D9" s="256">
        <f t="shared" si="0"/>
        <v>0.7116999999999999</v>
      </c>
      <c r="E9" s="256">
        <f t="shared" si="1"/>
        <v>4.316199999999999</v>
      </c>
      <c r="F9" s="255"/>
      <c r="G9" s="254"/>
    </row>
    <row r="10" spans="1:7" ht="12.75">
      <c r="A10" s="254" t="str">
        <f>3LifetimeExposures!A7</f>
        <v>Other agricultural</v>
      </c>
      <c r="B10" s="254">
        <v>89</v>
      </c>
      <c r="C10" s="255">
        <f>3LifetimeExposures!D35</f>
        <v>73.128</v>
      </c>
      <c r="D10" s="256">
        <f t="shared" si="0"/>
        <v>1.2188</v>
      </c>
      <c r="E10" s="256">
        <f t="shared" si="1"/>
        <v>5.534999999999999</v>
      </c>
      <c r="F10" s="255"/>
      <c r="G10" s="254"/>
    </row>
    <row r="11" spans="1:7" ht="12.75">
      <c r="A11" s="254" t="str">
        <f>3LifetimeExposures!A8</f>
        <v>Other occupational</v>
      </c>
      <c r="B11" s="257">
        <v>92</v>
      </c>
      <c r="C11" s="255">
        <f>3LifetimeExposures!D36</f>
        <v>147.90000000000003</v>
      </c>
      <c r="D11" s="256">
        <f t="shared" si="0"/>
        <v>2.4650000000000007</v>
      </c>
      <c r="E11" s="256">
        <f t="shared" si="1"/>
        <v>8</v>
      </c>
      <c r="F11" s="255"/>
      <c r="G11" s="254"/>
    </row>
    <row r="12" spans="1:7" ht="12.75">
      <c r="A12" s="254"/>
      <c r="B12" s="257"/>
      <c r="C12" s="255"/>
      <c r="D12" s="256">
        <f>SUM(D6:D11)</f>
        <v>8</v>
      </c>
      <c r="E12" s="254"/>
      <c r="F12" s="254"/>
      <c r="G12" s="254"/>
    </row>
    <row r="13" spans="1:7" ht="12.75">
      <c r="A13" s="254"/>
      <c r="B13" s="254"/>
      <c r="C13" s="254" t="s">
        <v>216</v>
      </c>
      <c r="D13" s="254" t="s">
        <v>215</v>
      </c>
      <c r="E13" s="254" t="s">
        <v>214</v>
      </c>
      <c r="F13" s="254"/>
      <c r="G13" s="254"/>
    </row>
    <row r="14" spans="1:7" ht="12.75">
      <c r="A14" s="254" t="str">
        <f>A6</f>
        <v>Tractor</v>
      </c>
      <c r="B14" s="254"/>
      <c r="C14" s="254">
        <v>96</v>
      </c>
      <c r="D14" s="254">
        <v>85</v>
      </c>
      <c r="E14" s="257">
        <f>C$94</f>
        <v>92.55</v>
      </c>
      <c r="F14" s="254">
        <v>0</v>
      </c>
      <c r="G14" s="254"/>
    </row>
    <row r="15" spans="1:7" ht="12.75">
      <c r="A15" s="254"/>
      <c r="B15" s="254"/>
      <c r="C15" s="254">
        <f aca="true" t="shared" si="2" ref="C15:C42">B$6</f>
        <v>96</v>
      </c>
      <c r="D15" s="254">
        <v>85</v>
      </c>
      <c r="E15" s="257">
        <f aca="true" t="shared" si="3" ref="E15:E78">C$94</f>
        <v>92.55</v>
      </c>
      <c r="F15" s="254"/>
      <c r="G15" s="254"/>
    </row>
    <row r="16" spans="1:7" ht="12.75">
      <c r="A16" s="254"/>
      <c r="B16" s="254"/>
      <c r="C16" s="254">
        <f t="shared" si="2"/>
        <v>96</v>
      </c>
      <c r="D16" s="254">
        <v>85</v>
      </c>
      <c r="E16" s="257">
        <f t="shared" si="3"/>
        <v>92.55</v>
      </c>
      <c r="F16" s="254"/>
      <c r="G16" s="254"/>
    </row>
    <row r="17" spans="1:7" ht="12.75">
      <c r="A17" s="254"/>
      <c r="B17" s="254"/>
      <c r="C17" s="254">
        <f t="shared" si="2"/>
        <v>96</v>
      </c>
      <c r="D17" s="254">
        <v>85</v>
      </c>
      <c r="E17" s="257">
        <f t="shared" si="3"/>
        <v>92.55</v>
      </c>
      <c r="F17" s="254"/>
      <c r="G17" s="254"/>
    </row>
    <row r="18" spans="1:7" ht="12.75">
      <c r="A18" s="254"/>
      <c r="B18" s="254"/>
      <c r="C18" s="254">
        <f t="shared" si="2"/>
        <v>96</v>
      </c>
      <c r="D18" s="254">
        <v>85</v>
      </c>
      <c r="E18" s="257">
        <f t="shared" si="3"/>
        <v>92.55</v>
      </c>
      <c r="F18" s="254"/>
      <c r="G18" s="254"/>
    </row>
    <row r="19" spans="1:7" ht="12.75">
      <c r="A19" s="254"/>
      <c r="B19" s="254"/>
      <c r="C19" s="254">
        <f t="shared" si="2"/>
        <v>96</v>
      </c>
      <c r="D19" s="254">
        <v>85</v>
      </c>
      <c r="E19" s="257">
        <f t="shared" si="3"/>
        <v>92.55</v>
      </c>
      <c r="F19" s="254"/>
      <c r="G19" s="254"/>
    </row>
    <row r="20" spans="1:7" ht="12.75">
      <c r="A20" s="254"/>
      <c r="B20" s="254"/>
      <c r="C20" s="254">
        <f t="shared" si="2"/>
        <v>96</v>
      </c>
      <c r="D20" s="254">
        <v>85</v>
      </c>
      <c r="E20" s="257">
        <f t="shared" si="3"/>
        <v>92.55</v>
      </c>
      <c r="F20" s="254"/>
      <c r="G20" s="254"/>
    </row>
    <row r="21" spans="1:7" ht="12.75">
      <c r="A21" s="254"/>
      <c r="B21" s="254" t="str">
        <f>A$14</f>
        <v>Tractor</v>
      </c>
      <c r="C21" s="254">
        <f t="shared" si="2"/>
        <v>96</v>
      </c>
      <c r="D21" s="254">
        <v>85</v>
      </c>
      <c r="E21" s="257">
        <f t="shared" si="3"/>
        <v>92.55</v>
      </c>
      <c r="F21" s="254"/>
      <c r="G21" s="254"/>
    </row>
    <row r="22" spans="1:7" ht="12.75">
      <c r="A22" s="254"/>
      <c r="B22" s="254"/>
      <c r="C22" s="254">
        <f t="shared" si="2"/>
        <v>96</v>
      </c>
      <c r="D22" s="254">
        <v>85</v>
      </c>
      <c r="E22" s="257">
        <f t="shared" si="3"/>
        <v>92.55</v>
      </c>
      <c r="F22" s="254"/>
      <c r="G22" s="254"/>
    </row>
    <row r="23" spans="1:7" ht="12.75">
      <c r="A23" s="254"/>
      <c r="B23" s="254"/>
      <c r="C23" s="254">
        <f t="shared" si="2"/>
        <v>96</v>
      </c>
      <c r="D23" s="254">
        <v>85</v>
      </c>
      <c r="E23" s="257">
        <f t="shared" si="3"/>
        <v>92.55</v>
      </c>
      <c r="F23" s="254">
        <v>1</v>
      </c>
      <c r="G23" s="254"/>
    </row>
    <row r="24" spans="1:7" ht="12.75">
      <c r="A24" s="254"/>
      <c r="B24" s="254"/>
      <c r="C24" s="254">
        <f t="shared" si="2"/>
        <v>96</v>
      </c>
      <c r="D24" s="254">
        <v>85</v>
      </c>
      <c r="E24" s="257">
        <f t="shared" si="3"/>
        <v>92.55</v>
      </c>
      <c r="F24" s="254"/>
      <c r="G24" s="254"/>
    </row>
    <row r="25" spans="1:7" ht="12.75">
      <c r="A25" s="254"/>
      <c r="B25" s="254"/>
      <c r="C25" s="254">
        <f t="shared" si="2"/>
        <v>96</v>
      </c>
      <c r="D25" s="254">
        <v>85</v>
      </c>
      <c r="E25" s="257">
        <f t="shared" si="3"/>
        <v>92.55</v>
      </c>
      <c r="F25" s="254"/>
      <c r="G25" s="254"/>
    </row>
    <row r="26" spans="1:7" ht="12.75">
      <c r="A26" s="254"/>
      <c r="B26" s="254"/>
      <c r="C26" s="254">
        <f t="shared" si="2"/>
        <v>96</v>
      </c>
      <c r="D26" s="254">
        <v>85</v>
      </c>
      <c r="E26" s="257">
        <f t="shared" si="3"/>
        <v>92.55</v>
      </c>
      <c r="F26" s="254"/>
      <c r="G26" s="254"/>
    </row>
    <row r="27" spans="1:7" ht="12.75">
      <c r="A27" s="254"/>
      <c r="B27" s="254"/>
      <c r="C27" s="254">
        <f t="shared" si="2"/>
        <v>96</v>
      </c>
      <c r="D27" s="254">
        <v>85</v>
      </c>
      <c r="E27" s="257">
        <f t="shared" si="3"/>
        <v>92.55</v>
      </c>
      <c r="F27" s="254"/>
      <c r="G27" s="254"/>
    </row>
    <row r="28" spans="1:7" ht="12.75">
      <c r="A28" s="254"/>
      <c r="B28" s="254"/>
      <c r="C28" s="254">
        <f t="shared" si="2"/>
        <v>96</v>
      </c>
      <c r="D28" s="254">
        <v>85</v>
      </c>
      <c r="E28" s="257">
        <f t="shared" si="3"/>
        <v>92.55</v>
      </c>
      <c r="F28" s="254"/>
      <c r="G28" s="254"/>
    </row>
    <row r="29" spans="1:7" ht="12.75">
      <c r="A29" s="254"/>
      <c r="B29" s="254"/>
      <c r="C29" s="254">
        <f t="shared" si="2"/>
        <v>96</v>
      </c>
      <c r="D29" s="254">
        <v>85</v>
      </c>
      <c r="E29" s="257">
        <f t="shared" si="3"/>
        <v>92.55</v>
      </c>
      <c r="F29" s="254"/>
      <c r="G29" s="254"/>
    </row>
    <row r="30" spans="1:7" ht="12.75">
      <c r="A30" s="254"/>
      <c r="B30" s="254"/>
      <c r="C30" s="254">
        <f t="shared" si="2"/>
        <v>96</v>
      </c>
      <c r="D30" s="254">
        <v>85</v>
      </c>
      <c r="E30" s="257">
        <f t="shared" si="3"/>
        <v>92.55</v>
      </c>
      <c r="F30" s="254"/>
      <c r="G30" s="254"/>
    </row>
    <row r="31" spans="1:7" ht="12.75">
      <c r="A31" s="254"/>
      <c r="B31" s="254"/>
      <c r="C31" s="254">
        <f t="shared" si="2"/>
        <v>96</v>
      </c>
      <c r="D31" s="254">
        <v>85</v>
      </c>
      <c r="E31" s="257">
        <f t="shared" si="3"/>
        <v>92.55</v>
      </c>
      <c r="F31" s="254"/>
      <c r="G31" s="254"/>
    </row>
    <row r="32" spans="1:7" ht="12.75">
      <c r="A32" s="254"/>
      <c r="B32" s="254"/>
      <c r="C32" s="254">
        <f t="shared" si="2"/>
        <v>96</v>
      </c>
      <c r="D32" s="254">
        <v>85</v>
      </c>
      <c r="E32" s="257">
        <f t="shared" si="3"/>
        <v>92.55</v>
      </c>
      <c r="F32" s="254"/>
      <c r="G32" s="254"/>
    </row>
    <row r="33" spans="1:7" ht="12.75">
      <c r="A33" s="254"/>
      <c r="B33" s="254"/>
      <c r="C33" s="254">
        <f t="shared" si="2"/>
        <v>96</v>
      </c>
      <c r="D33" s="254">
        <v>85</v>
      </c>
      <c r="E33" s="257">
        <f t="shared" si="3"/>
        <v>92.55</v>
      </c>
      <c r="F33" s="254">
        <v>2</v>
      </c>
      <c r="G33" s="254"/>
    </row>
    <row r="34" spans="1:7" ht="12.75">
      <c r="A34" s="254"/>
      <c r="B34" s="254"/>
      <c r="C34" s="254">
        <f t="shared" si="2"/>
        <v>96</v>
      </c>
      <c r="D34" s="254">
        <v>85</v>
      </c>
      <c r="E34" s="257">
        <f t="shared" si="3"/>
        <v>92.55</v>
      </c>
      <c r="F34" s="254"/>
      <c r="G34" s="254"/>
    </row>
    <row r="35" spans="1:7" ht="12.75">
      <c r="A35" s="254"/>
      <c r="B35" s="254"/>
      <c r="C35" s="254">
        <f t="shared" si="2"/>
        <v>96</v>
      </c>
      <c r="D35" s="254">
        <v>85</v>
      </c>
      <c r="E35" s="257">
        <f t="shared" si="3"/>
        <v>92.55</v>
      </c>
      <c r="F35" s="254"/>
      <c r="G35" s="254"/>
    </row>
    <row r="36" spans="1:7" ht="12.75">
      <c r="A36" s="254"/>
      <c r="B36" s="254"/>
      <c r="C36" s="254">
        <f t="shared" si="2"/>
        <v>96</v>
      </c>
      <c r="D36" s="254">
        <v>85</v>
      </c>
      <c r="E36" s="257">
        <f t="shared" si="3"/>
        <v>92.55</v>
      </c>
      <c r="F36" s="254"/>
      <c r="G36" s="254"/>
    </row>
    <row r="37" spans="1:7" ht="12.75">
      <c r="A37" s="254"/>
      <c r="B37" s="254"/>
      <c r="C37" s="254">
        <f t="shared" si="2"/>
        <v>96</v>
      </c>
      <c r="D37" s="254">
        <v>85</v>
      </c>
      <c r="E37" s="257">
        <f t="shared" si="3"/>
        <v>92.55</v>
      </c>
      <c r="F37" s="254"/>
      <c r="G37" s="254"/>
    </row>
    <row r="38" spans="1:7" ht="12.75">
      <c r="A38" s="254"/>
      <c r="B38" s="254"/>
      <c r="C38" s="254">
        <f t="shared" si="2"/>
        <v>96</v>
      </c>
      <c r="D38" s="254">
        <v>85</v>
      </c>
      <c r="E38" s="257">
        <f t="shared" si="3"/>
        <v>92.55</v>
      </c>
      <c r="F38" s="254"/>
      <c r="G38" s="254"/>
    </row>
    <row r="39" spans="1:7" ht="12.75">
      <c r="A39" s="254"/>
      <c r="B39" s="254"/>
      <c r="C39" s="254">
        <f t="shared" si="2"/>
        <v>96</v>
      </c>
      <c r="D39" s="254">
        <v>85</v>
      </c>
      <c r="E39" s="257">
        <f t="shared" si="3"/>
        <v>92.55</v>
      </c>
      <c r="F39" s="254"/>
      <c r="G39" s="254"/>
    </row>
    <row r="40" spans="1:7" ht="12.75">
      <c r="A40" s="254"/>
      <c r="B40" s="254"/>
      <c r="C40" s="254">
        <f t="shared" si="2"/>
        <v>96</v>
      </c>
      <c r="D40" s="254">
        <v>85</v>
      </c>
      <c r="E40" s="257">
        <f t="shared" si="3"/>
        <v>92.55</v>
      </c>
      <c r="F40" s="254"/>
      <c r="G40" s="254"/>
    </row>
    <row r="41" spans="1:7" ht="12.75">
      <c r="A41" s="254"/>
      <c r="B41" s="254"/>
      <c r="C41" s="254">
        <f t="shared" si="2"/>
        <v>96</v>
      </c>
      <c r="D41" s="254">
        <v>85</v>
      </c>
      <c r="E41" s="257">
        <f t="shared" si="3"/>
        <v>92.55</v>
      </c>
      <c r="F41" s="254"/>
      <c r="G41" s="254"/>
    </row>
    <row r="42" spans="1:7" ht="12.75">
      <c r="A42" s="254"/>
      <c r="B42" s="254"/>
      <c r="C42" s="254">
        <f t="shared" si="2"/>
        <v>96</v>
      </c>
      <c r="D42" s="254">
        <v>85</v>
      </c>
      <c r="E42" s="257">
        <f t="shared" si="3"/>
        <v>92.55</v>
      </c>
      <c r="F42" s="254"/>
      <c r="G42" s="254"/>
    </row>
    <row r="43" spans="1:7" ht="12.75">
      <c r="A43" s="254" t="str">
        <f>A7</f>
        <v>Chain saw</v>
      </c>
      <c r="B43" s="254" t="str">
        <f>A43</f>
        <v>Chain saw</v>
      </c>
      <c r="C43" s="254">
        <f>B$7</f>
        <v>110</v>
      </c>
      <c r="D43" s="254">
        <v>85</v>
      </c>
      <c r="E43" s="257">
        <f t="shared" si="3"/>
        <v>92.55</v>
      </c>
      <c r="F43" s="254">
        <v>3</v>
      </c>
      <c r="G43" s="254"/>
    </row>
    <row r="44" spans="1:7" ht="12.75">
      <c r="A44" s="254" t="str">
        <f>A8</f>
        <v>Combine</v>
      </c>
      <c r="B44" s="254"/>
      <c r="C44" s="254">
        <f aca="true" t="shared" si="4" ref="C44:C49">B$8</f>
        <v>90</v>
      </c>
      <c r="D44" s="254">
        <v>85</v>
      </c>
      <c r="E44" s="257">
        <f t="shared" si="3"/>
        <v>92.55</v>
      </c>
      <c r="F44" s="254"/>
      <c r="G44" s="254"/>
    </row>
    <row r="45" spans="1:7" ht="12.75">
      <c r="A45" s="254"/>
      <c r="B45" s="254"/>
      <c r="C45" s="254">
        <f t="shared" si="4"/>
        <v>90</v>
      </c>
      <c r="D45" s="254">
        <v>85</v>
      </c>
      <c r="E45" s="257">
        <f t="shared" si="3"/>
        <v>92.55</v>
      </c>
      <c r="F45" s="254"/>
      <c r="G45" s="254"/>
    </row>
    <row r="46" spans="1:7" ht="12.75">
      <c r="A46" s="254"/>
      <c r="B46" s="254"/>
      <c r="C46" s="254">
        <f t="shared" si="4"/>
        <v>90</v>
      </c>
      <c r="D46" s="254">
        <v>85</v>
      </c>
      <c r="E46" s="257">
        <f t="shared" si="3"/>
        <v>92.55</v>
      </c>
      <c r="F46" s="254"/>
      <c r="G46" s="254"/>
    </row>
    <row r="47" spans="1:7" ht="12.75">
      <c r="A47" s="254"/>
      <c r="B47" s="254"/>
      <c r="C47" s="254">
        <f t="shared" si="4"/>
        <v>90</v>
      </c>
      <c r="D47" s="254">
        <v>85</v>
      </c>
      <c r="E47" s="257">
        <f t="shared" si="3"/>
        <v>92.55</v>
      </c>
      <c r="F47" s="254"/>
      <c r="G47" s="254"/>
    </row>
    <row r="48" spans="1:7" ht="12.75">
      <c r="A48" s="254"/>
      <c r="B48" s="254" t="str">
        <f>A$44</f>
        <v>Combine</v>
      </c>
      <c r="C48" s="254">
        <f t="shared" si="4"/>
        <v>90</v>
      </c>
      <c r="D48" s="254">
        <v>85</v>
      </c>
      <c r="E48" s="257">
        <f t="shared" si="3"/>
        <v>92.55</v>
      </c>
      <c r="F48" s="254"/>
      <c r="G48" s="254"/>
    </row>
    <row r="49" spans="1:7" ht="12.75">
      <c r="A49" s="254"/>
      <c r="B49" s="254"/>
      <c r="C49" s="254">
        <f t="shared" si="4"/>
        <v>90</v>
      </c>
      <c r="D49" s="254">
        <v>85</v>
      </c>
      <c r="E49" s="257">
        <f t="shared" si="3"/>
        <v>92.55</v>
      </c>
      <c r="F49" s="254"/>
      <c r="G49" s="254"/>
    </row>
    <row r="50" spans="1:7" ht="12.75">
      <c r="A50" s="254" t="str">
        <f>A9</f>
        <v>Grain dryer</v>
      </c>
      <c r="B50" s="254"/>
      <c r="C50" s="254">
        <f aca="true" t="shared" si="5" ref="C50:C56">B$9</f>
        <v>86</v>
      </c>
      <c r="D50" s="254">
        <v>85</v>
      </c>
      <c r="E50" s="257">
        <f t="shared" si="3"/>
        <v>92.55</v>
      </c>
      <c r="F50" s="254"/>
      <c r="G50" s="254"/>
    </row>
    <row r="51" spans="1:7" ht="12.75">
      <c r="A51" s="254"/>
      <c r="B51" s="254"/>
      <c r="C51" s="254">
        <f t="shared" si="5"/>
        <v>86</v>
      </c>
      <c r="D51" s="254">
        <v>85</v>
      </c>
      <c r="E51" s="257">
        <f t="shared" si="3"/>
        <v>92.55</v>
      </c>
      <c r="F51" s="254"/>
      <c r="G51" s="254"/>
    </row>
    <row r="52" spans="1:7" ht="12.75">
      <c r="A52" s="254"/>
      <c r="B52" s="254"/>
      <c r="C52" s="254">
        <f t="shared" si="5"/>
        <v>86</v>
      </c>
      <c r="D52" s="254">
        <v>85</v>
      </c>
      <c r="E52" s="257">
        <f t="shared" si="3"/>
        <v>92.55</v>
      </c>
      <c r="F52" s="254"/>
      <c r="G52" s="254"/>
    </row>
    <row r="53" spans="1:7" ht="12.75">
      <c r="A53" s="254"/>
      <c r="B53" s="254" t="s">
        <v>212</v>
      </c>
      <c r="C53" s="254">
        <f t="shared" si="5"/>
        <v>86</v>
      </c>
      <c r="D53" s="254">
        <v>85</v>
      </c>
      <c r="E53" s="257">
        <f t="shared" si="3"/>
        <v>92.55</v>
      </c>
      <c r="F53" s="254">
        <v>4</v>
      </c>
      <c r="G53" s="254"/>
    </row>
    <row r="54" spans="1:7" ht="12.75">
      <c r="A54" s="254"/>
      <c r="B54" s="254"/>
      <c r="C54" s="254">
        <f t="shared" si="5"/>
        <v>86</v>
      </c>
      <c r="D54" s="254">
        <v>85</v>
      </c>
      <c r="E54" s="257">
        <f t="shared" si="3"/>
        <v>92.55</v>
      </c>
      <c r="F54" s="254"/>
      <c r="G54" s="254"/>
    </row>
    <row r="55" spans="1:7" ht="12.75">
      <c r="A55" s="254"/>
      <c r="B55" s="254"/>
      <c r="C55" s="254">
        <f t="shared" si="5"/>
        <v>86</v>
      </c>
      <c r="D55" s="254">
        <v>85</v>
      </c>
      <c r="E55" s="257">
        <f t="shared" si="3"/>
        <v>92.55</v>
      </c>
      <c r="F55" s="254"/>
      <c r="G55" s="254"/>
    </row>
    <row r="56" spans="1:7" ht="12.75">
      <c r="A56" s="254"/>
      <c r="B56" s="254"/>
      <c r="C56" s="254">
        <f t="shared" si="5"/>
        <v>86</v>
      </c>
      <c r="D56" s="254">
        <v>85</v>
      </c>
      <c r="E56" s="257">
        <f t="shared" si="3"/>
        <v>92.55</v>
      </c>
      <c r="F56" s="254"/>
      <c r="G56" s="254"/>
    </row>
    <row r="57" spans="1:7" ht="12.75">
      <c r="A57" s="254" t="str">
        <f>A10</f>
        <v>Other agricultural</v>
      </c>
      <c r="B57" s="254"/>
      <c r="C57" s="254">
        <f>B$10</f>
        <v>89</v>
      </c>
      <c r="D57" s="254">
        <v>85</v>
      </c>
      <c r="E57" s="257">
        <f t="shared" si="3"/>
        <v>92.55</v>
      </c>
      <c r="F57" s="254"/>
      <c r="G57" s="254"/>
    </row>
    <row r="58" spans="1:7" ht="12.75">
      <c r="A58" s="254"/>
      <c r="B58" s="254"/>
      <c r="C58" s="254">
        <f aca="true" t="shared" si="6" ref="C58:C68">B$10</f>
        <v>89</v>
      </c>
      <c r="D58" s="254">
        <v>85</v>
      </c>
      <c r="E58" s="257">
        <f t="shared" si="3"/>
        <v>92.55</v>
      </c>
      <c r="F58" s="254"/>
      <c r="G58" s="254"/>
    </row>
    <row r="59" spans="1:7" ht="12.75">
      <c r="A59" s="254"/>
      <c r="B59" s="254"/>
      <c r="C59" s="254">
        <f t="shared" si="6"/>
        <v>89</v>
      </c>
      <c r="D59" s="254">
        <v>85</v>
      </c>
      <c r="E59" s="257">
        <f t="shared" si="3"/>
        <v>92.55</v>
      </c>
      <c r="F59" s="254"/>
      <c r="G59" s="254"/>
    </row>
    <row r="60" spans="1:7" ht="12.75">
      <c r="A60" s="254"/>
      <c r="B60" s="254"/>
      <c r="C60" s="254">
        <f t="shared" si="6"/>
        <v>89</v>
      </c>
      <c r="D60" s="254">
        <v>85</v>
      </c>
      <c r="E60" s="257">
        <f t="shared" si="3"/>
        <v>92.55</v>
      </c>
      <c r="F60" s="254"/>
      <c r="G60" s="254"/>
    </row>
    <row r="61" spans="1:7" ht="12.75">
      <c r="A61" s="254"/>
      <c r="B61" s="254"/>
      <c r="C61" s="254">
        <f t="shared" si="6"/>
        <v>89</v>
      </c>
      <c r="D61" s="254">
        <v>85</v>
      </c>
      <c r="E61" s="257">
        <f t="shared" si="3"/>
        <v>92.55</v>
      </c>
      <c r="F61" s="254"/>
      <c r="G61" s="254"/>
    </row>
    <row r="62" spans="1:7" ht="12.75">
      <c r="A62" s="254"/>
      <c r="B62" s="254" t="str">
        <f>A$57</f>
        <v>Other agricultural</v>
      </c>
      <c r="C62" s="254">
        <f t="shared" si="6"/>
        <v>89</v>
      </c>
      <c r="D62" s="254">
        <v>85</v>
      </c>
      <c r="E62" s="257">
        <f t="shared" si="3"/>
        <v>92.55</v>
      </c>
      <c r="F62" s="254"/>
      <c r="G62" s="254"/>
    </row>
    <row r="63" spans="1:7" ht="12.75">
      <c r="A63" s="254"/>
      <c r="B63" s="254"/>
      <c r="C63" s="254">
        <f t="shared" si="6"/>
        <v>89</v>
      </c>
      <c r="D63" s="254">
        <v>85</v>
      </c>
      <c r="E63" s="257">
        <f t="shared" si="3"/>
        <v>92.55</v>
      </c>
      <c r="F63" s="254">
        <v>5</v>
      </c>
      <c r="G63" s="254"/>
    </row>
    <row r="64" spans="1:7" ht="12.75">
      <c r="A64" s="254"/>
      <c r="B64" s="254"/>
      <c r="C64" s="254">
        <f t="shared" si="6"/>
        <v>89</v>
      </c>
      <c r="D64" s="254">
        <v>85</v>
      </c>
      <c r="E64" s="257">
        <f t="shared" si="3"/>
        <v>92.55</v>
      </c>
      <c r="F64" s="254"/>
      <c r="G64" s="254"/>
    </row>
    <row r="65" spans="1:7" ht="12.75">
      <c r="A65" s="254"/>
      <c r="B65" s="254"/>
      <c r="C65" s="254">
        <f t="shared" si="6"/>
        <v>89</v>
      </c>
      <c r="D65" s="254">
        <v>85</v>
      </c>
      <c r="E65" s="257">
        <f t="shared" si="3"/>
        <v>92.55</v>
      </c>
      <c r="F65" s="254"/>
      <c r="G65" s="254"/>
    </row>
    <row r="66" spans="1:7" ht="12.75">
      <c r="A66" s="254"/>
      <c r="B66" s="254"/>
      <c r="C66" s="254">
        <f t="shared" si="6"/>
        <v>89</v>
      </c>
      <c r="D66" s="254">
        <v>85</v>
      </c>
      <c r="E66" s="257">
        <f t="shared" si="3"/>
        <v>92.55</v>
      </c>
      <c r="F66" s="254"/>
      <c r="G66" s="254"/>
    </row>
    <row r="67" spans="1:7" ht="12.75">
      <c r="A67" s="254"/>
      <c r="B67" s="254"/>
      <c r="C67" s="254">
        <f t="shared" si="6"/>
        <v>89</v>
      </c>
      <c r="D67" s="254">
        <v>85</v>
      </c>
      <c r="E67" s="257">
        <f t="shared" si="3"/>
        <v>92.55</v>
      </c>
      <c r="F67" s="254"/>
      <c r="G67" s="254"/>
    </row>
    <row r="68" spans="1:7" ht="12.75">
      <c r="A68" s="254"/>
      <c r="B68" s="254"/>
      <c r="C68" s="254">
        <f t="shared" si="6"/>
        <v>89</v>
      </c>
      <c r="D68" s="254">
        <v>85</v>
      </c>
      <c r="E68" s="257">
        <f t="shared" si="3"/>
        <v>92.55</v>
      </c>
      <c r="F68" s="254"/>
      <c r="G68" s="254"/>
    </row>
    <row r="69" spans="1:7" ht="12.75">
      <c r="A69" s="254" t="str">
        <f>A11</f>
        <v>Other occupational</v>
      </c>
      <c r="B69" s="254"/>
      <c r="C69" s="257">
        <f aca="true" t="shared" si="7" ref="C69:C93">B$11</f>
        <v>92</v>
      </c>
      <c r="D69" s="254">
        <v>85</v>
      </c>
      <c r="E69" s="257">
        <f t="shared" si="3"/>
        <v>92.55</v>
      </c>
      <c r="F69" s="254"/>
      <c r="G69" s="254"/>
    </row>
    <row r="70" spans="1:7" ht="12.75">
      <c r="A70" s="254"/>
      <c r="B70" s="254"/>
      <c r="C70" s="257">
        <f t="shared" si="7"/>
        <v>92</v>
      </c>
      <c r="D70" s="254">
        <v>85</v>
      </c>
      <c r="E70" s="257">
        <f t="shared" si="3"/>
        <v>92.55</v>
      </c>
      <c r="F70" s="254"/>
      <c r="G70" s="254"/>
    </row>
    <row r="71" spans="1:7" ht="12.75">
      <c r="A71" s="254"/>
      <c r="B71" s="254"/>
      <c r="C71" s="257">
        <f t="shared" si="7"/>
        <v>92</v>
      </c>
      <c r="D71" s="254">
        <v>85</v>
      </c>
      <c r="E71" s="257">
        <f t="shared" si="3"/>
        <v>92.55</v>
      </c>
      <c r="F71" s="254"/>
      <c r="G71" s="254"/>
    </row>
    <row r="72" spans="1:7" ht="12.75">
      <c r="A72" s="254"/>
      <c r="B72" s="254"/>
      <c r="C72" s="257">
        <f t="shared" si="7"/>
        <v>92</v>
      </c>
      <c r="D72" s="254">
        <v>85</v>
      </c>
      <c r="E72" s="257">
        <f t="shared" si="3"/>
        <v>92.55</v>
      </c>
      <c r="F72" s="254"/>
      <c r="G72" s="254"/>
    </row>
    <row r="73" spans="1:7" ht="12.75">
      <c r="A73" s="254"/>
      <c r="B73" s="254"/>
      <c r="C73" s="257">
        <f t="shared" si="7"/>
        <v>92</v>
      </c>
      <c r="D73" s="254">
        <v>85</v>
      </c>
      <c r="E73" s="257">
        <f t="shared" si="3"/>
        <v>92.55</v>
      </c>
      <c r="F73" s="254">
        <v>6</v>
      </c>
      <c r="G73" s="254"/>
    </row>
    <row r="74" spans="1:7" ht="12.75">
      <c r="A74" s="254"/>
      <c r="B74" s="254"/>
      <c r="C74" s="257">
        <f t="shared" si="7"/>
        <v>92</v>
      </c>
      <c r="D74" s="254">
        <v>85</v>
      </c>
      <c r="E74" s="257">
        <f t="shared" si="3"/>
        <v>92.55</v>
      </c>
      <c r="F74" s="254"/>
      <c r="G74" s="254"/>
    </row>
    <row r="75" spans="1:7" ht="12.75">
      <c r="A75" s="254"/>
      <c r="B75" s="254"/>
      <c r="C75" s="257">
        <f t="shared" si="7"/>
        <v>92</v>
      </c>
      <c r="D75" s="254">
        <v>85</v>
      </c>
      <c r="E75" s="257">
        <f t="shared" si="3"/>
        <v>92.55</v>
      </c>
      <c r="F75" s="254"/>
      <c r="G75" s="254"/>
    </row>
    <row r="76" spans="1:7" ht="12.75">
      <c r="A76" s="254"/>
      <c r="B76" s="254"/>
      <c r="C76" s="257">
        <f t="shared" si="7"/>
        <v>92</v>
      </c>
      <c r="D76" s="254">
        <v>85</v>
      </c>
      <c r="E76" s="257">
        <f t="shared" si="3"/>
        <v>92.55</v>
      </c>
      <c r="F76" s="254"/>
      <c r="G76" s="254"/>
    </row>
    <row r="77" spans="1:7" ht="12.75">
      <c r="A77" s="254"/>
      <c r="B77" s="254"/>
      <c r="C77" s="257">
        <f t="shared" si="7"/>
        <v>92</v>
      </c>
      <c r="D77" s="254">
        <v>85</v>
      </c>
      <c r="E77" s="257">
        <f t="shared" si="3"/>
        <v>92.55</v>
      </c>
      <c r="F77" s="254"/>
      <c r="G77" s="254"/>
    </row>
    <row r="78" spans="1:7" ht="12.75">
      <c r="A78" s="254"/>
      <c r="B78" s="254"/>
      <c r="C78" s="257">
        <f t="shared" si="7"/>
        <v>92</v>
      </c>
      <c r="D78" s="254">
        <v>85</v>
      </c>
      <c r="E78" s="257">
        <f t="shared" si="3"/>
        <v>92.55</v>
      </c>
      <c r="F78" s="254"/>
      <c r="G78" s="254"/>
    </row>
    <row r="79" spans="1:7" ht="12.75">
      <c r="A79" s="254"/>
      <c r="B79" s="254"/>
      <c r="C79" s="257">
        <f t="shared" si="7"/>
        <v>92</v>
      </c>
      <c r="D79" s="254">
        <v>85</v>
      </c>
      <c r="E79" s="257">
        <f aca="true" t="shared" si="8" ref="E79:E93">C$94</f>
        <v>92.55</v>
      </c>
      <c r="F79" s="254"/>
      <c r="G79" s="254"/>
    </row>
    <row r="80" spans="1:7" ht="12.75">
      <c r="A80" s="254"/>
      <c r="B80" s="254"/>
      <c r="C80" s="257">
        <f t="shared" si="7"/>
        <v>92</v>
      </c>
      <c r="D80" s="254">
        <v>85</v>
      </c>
      <c r="E80" s="257">
        <f t="shared" si="8"/>
        <v>92.55</v>
      </c>
      <c r="F80" s="254"/>
      <c r="G80" s="254"/>
    </row>
    <row r="81" spans="1:7" ht="12.75">
      <c r="A81" s="254"/>
      <c r="B81" s="254"/>
      <c r="C81" s="257">
        <f t="shared" si="7"/>
        <v>92</v>
      </c>
      <c r="D81" s="254">
        <v>85</v>
      </c>
      <c r="E81" s="257">
        <f t="shared" si="8"/>
        <v>92.55</v>
      </c>
      <c r="F81" s="254"/>
      <c r="G81" s="254"/>
    </row>
    <row r="82" spans="1:7" ht="12.75">
      <c r="A82" s="254"/>
      <c r="B82" s="254"/>
      <c r="C82" s="257">
        <f t="shared" si="7"/>
        <v>92</v>
      </c>
      <c r="D82" s="254">
        <v>85</v>
      </c>
      <c r="E82" s="257">
        <f t="shared" si="8"/>
        <v>92.55</v>
      </c>
      <c r="F82" s="254"/>
      <c r="G82" s="254"/>
    </row>
    <row r="83" spans="1:7" ht="12.75">
      <c r="A83" s="254"/>
      <c r="B83" s="254"/>
      <c r="C83" s="257">
        <f t="shared" si="7"/>
        <v>92</v>
      </c>
      <c r="D83" s="254">
        <v>85</v>
      </c>
      <c r="E83" s="257">
        <f t="shared" si="8"/>
        <v>92.55</v>
      </c>
      <c r="F83" s="254">
        <v>7</v>
      </c>
      <c r="G83" s="254"/>
    </row>
    <row r="84" spans="1:7" ht="12.75">
      <c r="A84" s="254"/>
      <c r="B84" s="254"/>
      <c r="C84" s="257">
        <f t="shared" si="7"/>
        <v>92</v>
      </c>
      <c r="D84" s="254">
        <v>85</v>
      </c>
      <c r="E84" s="257">
        <f t="shared" si="8"/>
        <v>92.55</v>
      </c>
      <c r="F84" s="254"/>
      <c r="G84" s="254"/>
    </row>
    <row r="85" spans="1:7" ht="12.75">
      <c r="A85" s="254"/>
      <c r="B85" s="254" t="str">
        <f>A$69</f>
        <v>Other occupational</v>
      </c>
      <c r="C85" s="257">
        <f t="shared" si="7"/>
        <v>92</v>
      </c>
      <c r="D85" s="254">
        <v>85</v>
      </c>
      <c r="E85" s="257">
        <f t="shared" si="8"/>
        <v>92.55</v>
      </c>
      <c r="F85" s="254"/>
      <c r="G85" s="254"/>
    </row>
    <row r="86" spans="1:7" ht="12.75">
      <c r="A86" s="254"/>
      <c r="B86" s="254"/>
      <c r="C86" s="257">
        <f t="shared" si="7"/>
        <v>92</v>
      </c>
      <c r="D86" s="254">
        <v>85</v>
      </c>
      <c r="E86" s="257">
        <f t="shared" si="8"/>
        <v>92.55</v>
      </c>
      <c r="F86" s="254"/>
      <c r="G86" s="254"/>
    </row>
    <row r="87" spans="1:7" ht="12.75">
      <c r="A87" s="254"/>
      <c r="B87" s="254"/>
      <c r="C87" s="257">
        <f t="shared" si="7"/>
        <v>92</v>
      </c>
      <c r="D87" s="254">
        <v>85</v>
      </c>
      <c r="E87" s="257">
        <f t="shared" si="8"/>
        <v>92.55</v>
      </c>
      <c r="F87" s="254"/>
      <c r="G87" s="254"/>
    </row>
    <row r="88" spans="1:7" ht="12.75">
      <c r="A88" s="254"/>
      <c r="B88" s="254"/>
      <c r="C88" s="257">
        <f t="shared" si="7"/>
        <v>92</v>
      </c>
      <c r="D88" s="254">
        <v>85</v>
      </c>
      <c r="E88" s="257">
        <f t="shared" si="8"/>
        <v>92.55</v>
      </c>
      <c r="F88" s="254"/>
      <c r="G88" s="254"/>
    </row>
    <row r="89" spans="1:7" ht="12.75">
      <c r="A89" s="254"/>
      <c r="B89" s="254"/>
      <c r="C89" s="257">
        <f t="shared" si="7"/>
        <v>92</v>
      </c>
      <c r="D89" s="254">
        <v>85</v>
      </c>
      <c r="E89" s="257">
        <f t="shared" si="8"/>
        <v>92.55</v>
      </c>
      <c r="F89" s="254"/>
      <c r="G89" s="254"/>
    </row>
    <row r="90" spans="1:7" ht="12.75">
      <c r="A90" s="254"/>
      <c r="B90" s="254"/>
      <c r="C90" s="257">
        <f t="shared" si="7"/>
        <v>92</v>
      </c>
      <c r="D90" s="254">
        <v>85</v>
      </c>
      <c r="E90" s="257">
        <f t="shared" si="8"/>
        <v>92.55</v>
      </c>
      <c r="F90" s="254"/>
      <c r="G90" s="254"/>
    </row>
    <row r="91" spans="1:7" ht="12.75">
      <c r="A91" s="254"/>
      <c r="B91" s="254"/>
      <c r="C91" s="257">
        <f t="shared" si="7"/>
        <v>92</v>
      </c>
      <c r="D91" s="254">
        <v>85</v>
      </c>
      <c r="E91" s="257">
        <f t="shared" si="8"/>
        <v>92.55</v>
      </c>
      <c r="F91" s="254"/>
      <c r="G91" s="254"/>
    </row>
    <row r="92" spans="1:7" ht="12.75">
      <c r="A92" s="254"/>
      <c r="B92" s="254"/>
      <c r="C92" s="257">
        <f t="shared" si="7"/>
        <v>92</v>
      </c>
      <c r="D92" s="254">
        <v>85</v>
      </c>
      <c r="E92" s="257">
        <f t="shared" si="8"/>
        <v>92.55</v>
      </c>
      <c r="F92" s="254"/>
      <c r="G92" s="254"/>
    </row>
    <row r="93" spans="1:7" ht="12.75">
      <c r="A93" s="254"/>
      <c r="B93" s="254"/>
      <c r="C93" s="257">
        <f t="shared" si="7"/>
        <v>92</v>
      </c>
      <c r="D93" s="254">
        <v>85</v>
      </c>
      <c r="E93" s="257">
        <f t="shared" si="8"/>
        <v>92.55</v>
      </c>
      <c r="F93" s="254">
        <v>8</v>
      </c>
      <c r="G93" s="254"/>
    </row>
    <row r="94" spans="1:7" ht="12.75">
      <c r="A94" s="254"/>
      <c r="B94" s="254"/>
      <c r="C94" s="257">
        <f>SUM(C14:C93)/80</f>
        <v>92.55</v>
      </c>
      <c r="D94" s="254"/>
      <c r="E94" s="254"/>
      <c r="F94" s="254"/>
      <c r="G94" s="25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J51"/>
  <sheetViews>
    <sheetView workbookViewId="0" topLeftCell="A1">
      <selection activeCell="L20" sqref="L20"/>
    </sheetView>
  </sheetViews>
  <sheetFormatPr defaultColWidth="9.140625" defaultRowHeight="12.75"/>
  <cols>
    <col min="7" max="7" width="7.7109375" style="0" customWidth="1"/>
  </cols>
  <sheetData>
    <row r="1" spans="1:10" ht="15">
      <c r="A1" s="216" t="s">
        <v>209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350" t="s">
        <v>288</v>
      </c>
      <c r="B2" s="350"/>
      <c r="C2" s="350"/>
      <c r="D2" s="350"/>
      <c r="E2" s="350"/>
      <c r="F2" s="350"/>
      <c r="G2" s="350"/>
      <c r="H2" s="4"/>
      <c r="I2" s="4"/>
      <c r="J2" s="4"/>
    </row>
    <row r="3" spans="1:10" ht="15" customHeight="1" thickBot="1">
      <c r="A3" s="350"/>
      <c r="B3" s="350"/>
      <c r="C3" s="350"/>
      <c r="D3" s="350"/>
      <c r="E3" s="350"/>
      <c r="F3" s="350"/>
      <c r="G3" s="350"/>
      <c r="H3" s="352" t="s">
        <v>263</v>
      </c>
      <c r="I3" s="352"/>
      <c r="J3" s="4"/>
    </row>
    <row r="4" spans="1:10" ht="15.75">
      <c r="A4" s="216"/>
      <c r="B4" s="4"/>
      <c r="C4" s="4"/>
      <c r="D4" s="4"/>
      <c r="E4" s="4"/>
      <c r="F4" s="4"/>
      <c r="G4" s="4"/>
      <c r="H4" s="354" t="str">
        <f>IF(H3=D8,"Correct!","Try again.")</f>
        <v>Correct!</v>
      </c>
      <c r="I4" s="354"/>
      <c r="J4" s="4"/>
    </row>
    <row r="5" spans="1:10" ht="15" customHeight="1">
      <c r="A5" s="353" t="s">
        <v>298</v>
      </c>
      <c r="B5" s="353"/>
      <c r="C5" s="353"/>
      <c r="D5" s="353"/>
      <c r="E5" s="353"/>
      <c r="F5" s="353"/>
      <c r="G5" s="353"/>
      <c r="H5" s="4"/>
      <c r="I5" s="4"/>
      <c r="J5" s="4"/>
    </row>
    <row r="6" spans="1:10" ht="15" customHeight="1">
      <c r="A6" s="353"/>
      <c r="B6" s="353"/>
      <c r="C6" s="353"/>
      <c r="D6" s="353"/>
      <c r="E6" s="353"/>
      <c r="F6" s="353"/>
      <c r="G6" s="353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 t="str">
        <f>3LifetimeExposures!A3</f>
        <v>Tractor</v>
      </c>
      <c r="C8" s="4">
        <f>3LifetimeExposures!D31</f>
        <v>172.01999999999998</v>
      </c>
      <c r="D8" s="4" t="s">
        <v>263</v>
      </c>
      <c r="E8" s="4"/>
      <c r="F8" s="4"/>
      <c r="G8" s="4"/>
      <c r="H8" s="4"/>
      <c r="I8" s="4"/>
      <c r="J8" s="4"/>
    </row>
    <row r="9" spans="1:10" ht="12.75">
      <c r="A9" s="4"/>
      <c r="B9" s="4" t="str">
        <f>3LifetimeExposures!A4</f>
        <v>Chain saw</v>
      </c>
      <c r="C9" s="4">
        <f>3LifetimeExposures!D32</f>
        <v>10.956</v>
      </c>
      <c r="D9" s="4"/>
      <c r="E9" s="4"/>
      <c r="F9" s="4"/>
      <c r="G9" s="4"/>
      <c r="H9" s="4"/>
      <c r="I9" s="4"/>
      <c r="J9" s="4"/>
    </row>
    <row r="10" spans="1:10" ht="12.75">
      <c r="A10" s="4"/>
      <c r="B10" s="4" t="str">
        <f>3LifetimeExposures!A5</f>
        <v>Combine</v>
      </c>
      <c r="C10" s="4">
        <f>3LifetimeExposures!D33</f>
        <v>33.294</v>
      </c>
      <c r="D10" s="4"/>
      <c r="E10" s="4"/>
      <c r="F10" s="4"/>
      <c r="G10" s="4"/>
      <c r="H10" s="4"/>
      <c r="I10" s="4"/>
      <c r="J10" s="4"/>
    </row>
    <row r="11" spans="1:10" ht="12.75">
      <c r="A11" s="4"/>
      <c r="B11" s="4" t="str">
        <f>3LifetimeExposures!A6</f>
        <v>Grain dryer</v>
      </c>
      <c r="C11" s="4">
        <f>3LifetimeExposures!D34</f>
        <v>42.70199999999999</v>
      </c>
      <c r="D11" s="4"/>
      <c r="E11" s="4"/>
      <c r="F11" s="4"/>
      <c r="G11" s="4"/>
      <c r="H11" s="4"/>
      <c r="I11" s="4"/>
      <c r="J11" s="4"/>
    </row>
    <row r="12" spans="1:10" ht="12.75">
      <c r="A12" s="4"/>
      <c r="B12" s="4" t="str">
        <f>3LifetimeExposures!A7</f>
        <v>Other agricultural</v>
      </c>
      <c r="C12" s="4">
        <f>3LifetimeExposures!D35</f>
        <v>73.128</v>
      </c>
      <c r="D12" s="4"/>
      <c r="E12" s="4"/>
      <c r="F12" s="4"/>
      <c r="G12" s="4"/>
      <c r="H12" s="4"/>
      <c r="I12" s="4"/>
      <c r="J12" s="4"/>
    </row>
    <row r="13" spans="1:10" ht="12.75">
      <c r="A13" s="4"/>
      <c r="B13" s="4" t="str">
        <f>3LifetimeExposures!A8</f>
        <v>Other occupational</v>
      </c>
      <c r="C13" s="4">
        <f>3LifetimeExposures!D36</f>
        <v>147.90000000000003</v>
      </c>
      <c r="D13" s="4"/>
      <c r="E13" s="4"/>
      <c r="F13" s="4"/>
      <c r="G13" s="4"/>
      <c r="H13" s="4"/>
      <c r="I13" s="4"/>
      <c r="J13" s="4"/>
    </row>
    <row r="14" spans="1:10" ht="12.75">
      <c r="A14" s="4"/>
      <c r="B14" s="4" t="str">
        <f>3LifetimeExposures!A10</f>
        <v>Hunting &amp; target shooting</v>
      </c>
      <c r="C14" s="4">
        <f>3LifetimeExposures!D38/10</f>
        <v>1.4754</v>
      </c>
      <c r="D14" s="4"/>
      <c r="E14" s="4"/>
      <c r="F14" s="4"/>
      <c r="G14" s="4"/>
      <c r="H14" s="4"/>
      <c r="I14" s="4"/>
      <c r="J14" s="4"/>
    </row>
    <row r="15" spans="1:10" ht="12.75">
      <c r="A15" s="4"/>
      <c r="B15" s="4" t="str">
        <f>3LifetimeExposures!A11</f>
        <v>Motorcycle &amp; snowmobile</v>
      </c>
      <c r="C15" s="4">
        <f>3LifetimeExposures!D39</f>
        <v>15.696000000000002</v>
      </c>
      <c r="D15" s="4"/>
      <c r="E15" s="4"/>
      <c r="F15" s="4"/>
      <c r="G15" s="4"/>
      <c r="H15" s="4"/>
      <c r="I15" s="4"/>
      <c r="J15" s="4"/>
    </row>
    <row r="16" spans="1:10" ht="12.75">
      <c r="A16" s="4"/>
      <c r="B16" s="4" t="str">
        <f>3LifetimeExposures!A12</f>
        <v>Rock band</v>
      </c>
      <c r="C16" s="4">
        <f>3LifetimeExposures!D40</f>
        <v>7.260000000000001</v>
      </c>
      <c r="D16" s="4"/>
      <c r="E16" s="4"/>
      <c r="F16" s="4"/>
      <c r="G16" s="4"/>
      <c r="H16" s="4"/>
      <c r="I16" s="4"/>
      <c r="J16" s="4"/>
    </row>
    <row r="17" spans="1:10" ht="12.75">
      <c r="A17" s="4"/>
      <c r="B17" s="4" t="str">
        <f>3LifetimeExposures!A13</f>
        <v>Other</v>
      </c>
      <c r="C17" s="4">
        <f>3LifetimeExposures!D41</f>
        <v>33.876</v>
      </c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 t="s">
        <v>88</v>
      </c>
      <c r="B51" s="4"/>
      <c r="C51" s="4"/>
      <c r="D51" s="4"/>
      <c r="E51" s="4"/>
      <c r="F51" s="4"/>
      <c r="G51" s="4"/>
      <c r="H51" s="4"/>
      <c r="I51" s="4"/>
      <c r="J51" s="4"/>
    </row>
  </sheetData>
  <mergeCells count="4">
    <mergeCell ref="A5:G6"/>
    <mergeCell ref="A2:G3"/>
    <mergeCell ref="H3:I3"/>
    <mergeCell ref="H4:I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workbookViewId="0" topLeftCell="A1">
      <selection activeCell="J29" sqref="J29"/>
    </sheetView>
  </sheetViews>
  <sheetFormatPr defaultColWidth="9.140625" defaultRowHeight="12.75"/>
  <cols>
    <col min="1" max="1" width="20.7109375" style="0" customWidth="1"/>
    <col min="2" max="3" width="3.7109375" style="0" customWidth="1"/>
    <col min="4" max="4" width="5.7109375" style="0" customWidth="1"/>
    <col min="10" max="10" width="7.28125" style="0" customWidth="1"/>
  </cols>
  <sheetData>
    <row r="1" spans="1:10" ht="15">
      <c r="A1" s="216" t="s">
        <v>265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customHeight="1">
      <c r="A8" s="350" t="s">
        <v>238</v>
      </c>
      <c r="B8" s="350"/>
      <c r="C8" s="350"/>
      <c r="D8" s="350"/>
      <c r="E8" s="350"/>
      <c r="F8" s="350"/>
      <c r="G8" s="350"/>
      <c r="H8" s="4"/>
      <c r="I8" s="4"/>
      <c r="J8" s="4"/>
    </row>
    <row r="9" spans="1:10" ht="15.75" customHeight="1">
      <c r="A9" s="350"/>
      <c r="B9" s="350"/>
      <c r="C9" s="350"/>
      <c r="D9" s="350"/>
      <c r="E9" s="350"/>
      <c r="F9" s="350"/>
      <c r="G9" s="350"/>
      <c r="H9" s="4"/>
      <c r="I9" s="4"/>
      <c r="J9" s="4"/>
    </row>
    <row r="10" spans="1:10" ht="12.75">
      <c r="A10" s="62" t="s">
        <v>206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 t="str">
        <f>3LifetimeExposures!A3</f>
        <v>Tractor</v>
      </c>
      <c r="B11" s="4">
        <f>2NoiseSources!B12</f>
        <v>96</v>
      </c>
      <c r="C11" s="280">
        <f>3LifetimeExposures!D31/60</f>
        <v>2.8669999999999995</v>
      </c>
      <c r="D11" s="4" t="s">
        <v>82</v>
      </c>
      <c r="E11" s="4" t="b">
        <v>1</v>
      </c>
      <c r="F11" s="4"/>
      <c r="G11" s="301" t="str">
        <f>IF(E11=TRUE,"Correct! 96dB is unsafe &gt;1 hour.","Check if you think so.")</f>
        <v>Correct! 96dB is unsafe &gt;1 hour.</v>
      </c>
      <c r="H11" s="4"/>
      <c r="I11" s="4"/>
      <c r="J11" s="4"/>
    </row>
    <row r="12" spans="1:10" ht="15">
      <c r="A12" s="4" t="str">
        <f>3LifetimeExposures!A4</f>
        <v>Chain saw</v>
      </c>
      <c r="B12" s="4">
        <f>2NoiseSources!B6</f>
        <v>110</v>
      </c>
      <c r="C12" s="280">
        <f>3LifetimeExposures!D32</f>
        <v>10.956</v>
      </c>
      <c r="D12" s="4" t="s">
        <v>285</v>
      </c>
      <c r="E12" s="4" t="b">
        <v>1</v>
      </c>
      <c r="F12" s="4"/>
      <c r="G12" s="301" t="str">
        <f>IF(E12=TRUE,"Correct! 110dB is unsafe &gt;2 min.","Check if you think so.")</f>
        <v>Correct! 110dB is unsafe &gt;2 min.</v>
      </c>
      <c r="H12" s="317"/>
      <c r="I12" s="4"/>
      <c r="J12" s="4"/>
    </row>
    <row r="13" spans="1:10" ht="15">
      <c r="A13" s="4" t="str">
        <f>3LifetimeExposures!A5</f>
        <v>Combine</v>
      </c>
      <c r="B13" s="4">
        <f>2NoiseSources!B14</f>
        <v>90</v>
      </c>
      <c r="C13" s="280">
        <f>3LifetimeExposures!D33/60</f>
        <v>0.5549</v>
      </c>
      <c r="D13" s="4" t="s">
        <v>217</v>
      </c>
      <c r="E13" s="4" t="b">
        <v>1</v>
      </c>
      <c r="F13" s="4"/>
      <c r="G13" s="301" t="str">
        <f>IF(E13=TRUE,"Opps! 90dB is OK for &lt;2 hours.","Check if you think so.")</f>
        <v>Opps! 90dB is OK for &lt;2 hours.</v>
      </c>
      <c r="H13" s="317"/>
      <c r="I13" s="4"/>
      <c r="J13" s="4"/>
    </row>
    <row r="14" spans="1:10" ht="15">
      <c r="A14" s="4" t="str">
        <f>3LifetimeExposures!A6</f>
        <v>Grain dryer</v>
      </c>
      <c r="B14" s="4">
        <f>2NoiseSources!B15</f>
        <v>86</v>
      </c>
      <c r="C14" s="280">
        <f>3LifetimeExposures!D34/60</f>
        <v>0.7116999999999999</v>
      </c>
      <c r="D14" s="4" t="s">
        <v>217</v>
      </c>
      <c r="E14" s="4" t="b">
        <v>1</v>
      </c>
      <c r="F14" s="4"/>
      <c r="G14" s="301" t="str">
        <f>IF(E14=TRUE,"Opps! 86dB is OK for &lt;4 hours.","Check if you think so.")</f>
        <v>Opps! 86dB is OK for &lt;4 hours.</v>
      </c>
      <c r="H14" s="317"/>
      <c r="I14" s="4"/>
      <c r="J14" s="4"/>
    </row>
    <row r="15" spans="1:10" ht="15">
      <c r="A15" s="4" t="str">
        <f>3LifetimeExposures!A7</f>
        <v>Other agricultural</v>
      </c>
      <c r="B15" s="119">
        <v>89</v>
      </c>
      <c r="C15" s="280">
        <f>3LifetimeExposures!D35/60</f>
        <v>1.2188</v>
      </c>
      <c r="D15" s="4" t="s">
        <v>217</v>
      </c>
      <c r="E15" s="4" t="b">
        <v>1</v>
      </c>
      <c r="F15" s="4"/>
      <c r="G15" s="301" t="str">
        <f>IF(E15=TRUE,"Opps! 89dB is OK for &lt;2 hours.","Check if you think so.")</f>
        <v>Opps! 89dB is OK for &lt;2 hours.</v>
      </c>
      <c r="H15" s="317"/>
      <c r="I15" s="4"/>
      <c r="J15" s="4"/>
    </row>
    <row r="16" spans="1:10" ht="15">
      <c r="A16" s="4" t="str">
        <f>3LifetimeExposures!A8</f>
        <v>Other occupational</v>
      </c>
      <c r="B16" s="119">
        <v>92</v>
      </c>
      <c r="C16" s="280">
        <f>3LifetimeExposures!D36/60</f>
        <v>2.4650000000000007</v>
      </c>
      <c r="D16" s="4" t="s">
        <v>82</v>
      </c>
      <c r="E16" s="4" t="b">
        <v>1</v>
      </c>
      <c r="F16" s="4"/>
      <c r="G16" s="301" t="str">
        <f>IF(E16=TRUE,"Correct! 92 dB is unsafe &gt;2 hours.","Check if you think so.")</f>
        <v>Correct! 92 dB is unsafe &gt;2 hours.</v>
      </c>
      <c r="H16" s="317"/>
      <c r="I16" s="4"/>
      <c r="J16" s="4"/>
    </row>
    <row r="17" spans="1:10" ht="15">
      <c r="A17" s="4" t="s">
        <v>218</v>
      </c>
      <c r="B17" s="119">
        <v>93</v>
      </c>
      <c r="C17" s="280">
        <v>8</v>
      </c>
      <c r="D17" s="4" t="s">
        <v>82</v>
      </c>
      <c r="E17" s="4" t="b">
        <v>1</v>
      </c>
      <c r="F17" s="4"/>
      <c r="G17" s="301" t="str">
        <f>IF(E17=TRUE,"Correct! 93dB is unsafe &gt;2 hours.","Check if you think so.")</f>
        <v>Correct! 93dB is unsafe &gt;2 hours.</v>
      </c>
      <c r="H17" s="4"/>
      <c r="I17" s="4"/>
      <c r="J17" s="4"/>
    </row>
    <row r="18" spans="1:10" ht="15">
      <c r="A18" s="4"/>
      <c r="B18" s="119"/>
      <c r="C18" s="280"/>
      <c r="D18" s="4"/>
      <c r="E18" s="4"/>
      <c r="F18" s="4"/>
      <c r="G18" s="301"/>
      <c r="H18" s="4"/>
      <c r="I18" s="4"/>
      <c r="J18" s="4"/>
    </row>
    <row r="19" spans="1:10" ht="12.75">
      <c r="A19" s="62" t="s">
        <v>219</v>
      </c>
      <c r="B19" s="119"/>
      <c r="C19" s="321"/>
      <c r="D19" s="4"/>
      <c r="E19" s="4"/>
      <c r="F19" s="4"/>
      <c r="G19" s="4"/>
      <c r="H19" s="4"/>
      <c r="I19" s="4"/>
      <c r="J19" s="4"/>
    </row>
    <row r="20" spans="1:10" ht="15">
      <c r="A20" s="4" t="str">
        <f>3LifetimeExposures!A10</f>
        <v>Hunting &amp; target shooting</v>
      </c>
      <c r="B20" s="4">
        <v>165</v>
      </c>
      <c r="C20" s="280">
        <f>3LifetimeExposures!D38/10</f>
        <v>1.4754</v>
      </c>
      <c r="D20" s="4" t="s">
        <v>285</v>
      </c>
      <c r="E20" s="4" t="b">
        <v>1</v>
      </c>
      <c r="F20" s="4"/>
      <c r="G20" s="301" t="str">
        <f>IF(E20=TRUE,"Correct! 165dB is off the scale!","Check if you think so.")</f>
        <v>Correct! 165dB is off the scale!</v>
      </c>
      <c r="H20" s="4"/>
      <c r="I20" s="4"/>
      <c r="J20" s="4"/>
    </row>
    <row r="21" spans="1:10" ht="15">
      <c r="A21" s="4" t="str">
        <f>3LifetimeExposures!A11</f>
        <v>Motorcycle &amp; snowmobile</v>
      </c>
      <c r="B21" s="119">
        <v>81</v>
      </c>
      <c r="C21" s="280">
        <f>3LifetimeExposures!D39</f>
        <v>15.696000000000002</v>
      </c>
      <c r="D21" s="4" t="s">
        <v>285</v>
      </c>
      <c r="E21" s="4" t="b">
        <v>1</v>
      </c>
      <c r="F21" s="4"/>
      <c r="G21" s="301" t="str">
        <f>IF(E21=TRUE,"Opps! 81dB is safe!","Check if you think so.")</f>
        <v>Opps! 81dB is safe!</v>
      </c>
      <c r="H21" s="4"/>
      <c r="I21" s="4"/>
      <c r="J21" s="4"/>
    </row>
    <row r="22" spans="1:10" ht="15">
      <c r="A22" s="4" t="str">
        <f>3LifetimeExposures!A12</f>
        <v>Rock band</v>
      </c>
      <c r="B22" s="119">
        <v>115</v>
      </c>
      <c r="C22" s="280">
        <f>3LifetimeExposures!D40</f>
        <v>7.260000000000001</v>
      </c>
      <c r="D22" s="4" t="s">
        <v>285</v>
      </c>
      <c r="E22" s="4" t="b">
        <v>1</v>
      </c>
      <c r="F22" s="4"/>
      <c r="G22" s="301" t="str">
        <f>IF(E22=TRUE,"Correct! 115dB is unsafe &lt;1 min.","Check if you think so.")</f>
        <v>Correct! 115dB is unsafe &lt;1 min.</v>
      </c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125"/>
      <c r="C30" s="125"/>
      <c r="D30" s="125"/>
      <c r="E30" s="4"/>
      <c r="F30" s="4"/>
      <c r="G30" s="4"/>
      <c r="H30" s="4"/>
      <c r="I30" s="4"/>
      <c r="J30" s="4"/>
    </row>
    <row r="31" spans="1:10" ht="12.75">
      <c r="A31" s="4"/>
      <c r="B31" s="125"/>
      <c r="C31" s="125"/>
      <c r="D31" s="125"/>
      <c r="E31" s="4"/>
      <c r="F31" s="4"/>
      <c r="G31" s="4"/>
      <c r="H31" s="4"/>
      <c r="I31" s="4"/>
      <c r="J31" s="4"/>
    </row>
    <row r="32" spans="1:10" ht="12.75">
      <c r="A32" s="4"/>
      <c r="B32" s="125"/>
      <c r="C32" s="125"/>
      <c r="D32" s="125"/>
      <c r="E32" s="4"/>
      <c r="F32" s="4"/>
      <c r="G32" s="4"/>
      <c r="H32" s="4"/>
      <c r="I32" s="4"/>
      <c r="J32" s="4"/>
    </row>
    <row r="33" spans="1:10" ht="12.75">
      <c r="A33" s="4"/>
      <c r="B33" s="125"/>
      <c r="C33" s="125"/>
      <c r="D33" s="125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 t="s">
        <v>88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</sheetData>
  <mergeCells count="1">
    <mergeCell ref="A8:G9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2:F35"/>
  <sheetViews>
    <sheetView workbookViewId="0" topLeftCell="A1">
      <selection activeCell="G11" sqref="G11"/>
    </sheetView>
  </sheetViews>
  <sheetFormatPr defaultColWidth="9.140625" defaultRowHeight="12.75"/>
  <sheetData>
    <row r="2" spans="1:6" ht="14.25">
      <c r="A2" s="252" t="s">
        <v>228</v>
      </c>
      <c r="B2" s="35" t="s">
        <v>230</v>
      </c>
      <c r="C2" s="35" t="s">
        <v>201</v>
      </c>
      <c r="D2" s="252"/>
      <c r="E2" s="35" t="s">
        <v>230</v>
      </c>
      <c r="F2" s="35" t="s">
        <v>229</v>
      </c>
    </row>
    <row r="3" spans="1:6" ht="12.75">
      <c r="A3" s="57"/>
      <c r="B3" s="88">
        <v>5</v>
      </c>
      <c r="C3" s="262">
        <v>0</v>
      </c>
      <c r="E3" s="88">
        <f>IF(6HearingLoss!H$3&gt;0,5)</f>
        <v>5</v>
      </c>
      <c r="F3" s="82">
        <v>25</v>
      </c>
    </row>
    <row r="4" spans="1:6" ht="12.75">
      <c r="A4" s="266" t="s">
        <v>223</v>
      </c>
      <c r="B4" s="87">
        <f>B3+5/3</f>
        <v>6.666666666666667</v>
      </c>
      <c r="C4" s="87">
        <f aca="true" t="shared" si="0" ref="C4:C34">C3+1</f>
        <v>1</v>
      </c>
      <c r="D4">
        <v>17</v>
      </c>
      <c r="E4" s="269">
        <f>IF(6HearingLoss!H$3&gt;C3,B4,)</f>
        <v>6.666666666666667</v>
      </c>
      <c r="F4" s="82">
        <v>25</v>
      </c>
    </row>
    <row r="5" spans="1:6" ht="12.75">
      <c r="A5" s="15"/>
      <c r="B5" s="87">
        <f>B4+5/3</f>
        <v>8.333333333333334</v>
      </c>
      <c r="C5" s="87">
        <f t="shared" si="0"/>
        <v>2</v>
      </c>
      <c r="D5" s="15"/>
      <c r="E5" s="269">
        <f>IF(6HearingLoss!H$3&gt;C4,B5,)</f>
        <v>8.333333333333334</v>
      </c>
      <c r="F5" s="82">
        <v>25</v>
      </c>
    </row>
    <row r="6" spans="1:6" ht="12.75">
      <c r="A6" s="15"/>
      <c r="B6" s="263">
        <v>10</v>
      </c>
      <c r="C6" s="87">
        <f t="shared" si="0"/>
        <v>3</v>
      </c>
      <c r="D6" s="15">
        <v>29</v>
      </c>
      <c r="E6" s="269">
        <f>IF(6HearingLoss!H$3&gt;C5,B6,)</f>
        <v>10</v>
      </c>
      <c r="F6" s="82">
        <v>25</v>
      </c>
    </row>
    <row r="7" spans="1:6" ht="12.75">
      <c r="A7" s="15"/>
      <c r="B7" s="87">
        <f>B6+24/6</f>
        <v>14</v>
      </c>
      <c r="C7" s="87">
        <f t="shared" si="0"/>
        <v>4</v>
      </c>
      <c r="D7" s="15"/>
      <c r="E7" s="269">
        <f>IF(6HearingLoss!H$3&gt;C6,B7,)</f>
        <v>14</v>
      </c>
      <c r="F7" s="82">
        <v>25</v>
      </c>
    </row>
    <row r="8" spans="1:6" ht="12.75">
      <c r="A8" s="266" t="s">
        <v>224</v>
      </c>
      <c r="B8" s="87">
        <f>B7+24/6</f>
        <v>18</v>
      </c>
      <c r="C8" s="87">
        <f t="shared" si="0"/>
        <v>5</v>
      </c>
      <c r="D8" s="266"/>
      <c r="E8" s="269">
        <f>IF(6HearingLoss!H$3&gt;C7,B8,)</f>
        <v>18</v>
      </c>
      <c r="F8" s="82">
        <v>25</v>
      </c>
    </row>
    <row r="9" spans="1:6" ht="12.75">
      <c r="A9" s="15"/>
      <c r="B9" s="87">
        <f>B8+24/6</f>
        <v>22</v>
      </c>
      <c r="C9" s="87">
        <f t="shared" si="0"/>
        <v>6</v>
      </c>
      <c r="D9" s="15"/>
      <c r="E9" s="269">
        <f>IF(6HearingLoss!H$3&gt;C8,B9,)</f>
        <v>22</v>
      </c>
      <c r="F9" s="82">
        <v>25</v>
      </c>
    </row>
    <row r="10" spans="1:6" ht="12.75">
      <c r="A10" s="15"/>
      <c r="B10" s="87">
        <f>B9+24/6</f>
        <v>26</v>
      </c>
      <c r="C10" s="87">
        <f t="shared" si="0"/>
        <v>7</v>
      </c>
      <c r="D10" s="15"/>
      <c r="E10" s="269">
        <f>IF(6HearingLoss!H$3&gt;C9,B10,)</f>
        <v>26</v>
      </c>
      <c r="F10" s="82">
        <v>25</v>
      </c>
    </row>
    <row r="11" spans="1:6" ht="12.75">
      <c r="A11" s="15"/>
      <c r="B11" s="87">
        <f>B10+24/6</f>
        <v>30</v>
      </c>
      <c r="C11" s="87">
        <f t="shared" si="0"/>
        <v>8</v>
      </c>
      <c r="D11" s="15">
        <v>35</v>
      </c>
      <c r="E11" s="269">
        <f>IF(6HearingLoss!H$3&gt;C10,B11,)</f>
        <v>0</v>
      </c>
      <c r="F11" s="82">
        <v>25</v>
      </c>
    </row>
    <row r="12" spans="1:6" ht="12.75">
      <c r="A12" s="15"/>
      <c r="B12" s="263">
        <v>34</v>
      </c>
      <c r="C12" s="87">
        <f t="shared" si="0"/>
        <v>9</v>
      </c>
      <c r="D12" s="15"/>
      <c r="E12" s="269">
        <f>IF(6HearingLoss!H$3&gt;C11,B12,)</f>
        <v>0</v>
      </c>
      <c r="F12" s="82">
        <v>25</v>
      </c>
    </row>
    <row r="13" spans="1:6" ht="12.75">
      <c r="A13" s="267" t="s">
        <v>225</v>
      </c>
      <c r="B13" s="87">
        <f>B12+8/3</f>
        <v>36.666666666666664</v>
      </c>
      <c r="C13" s="87">
        <f t="shared" si="0"/>
        <v>10</v>
      </c>
      <c r="D13" s="267"/>
      <c r="E13" s="269">
        <f>IF(6HearingLoss!H$3&gt;C12,B13,)</f>
        <v>0</v>
      </c>
      <c r="F13" s="82">
        <v>25</v>
      </c>
    </row>
    <row r="14" spans="1:6" ht="12.75">
      <c r="A14" s="4"/>
      <c r="B14" s="87">
        <f>B13+8/3</f>
        <v>39.33333333333333</v>
      </c>
      <c r="C14" s="87">
        <f t="shared" si="0"/>
        <v>11</v>
      </c>
      <c r="D14" s="4">
        <v>43</v>
      </c>
      <c r="E14" s="269">
        <f>IF(6HearingLoss!H$3&gt;C13,B14,)</f>
        <v>0</v>
      </c>
      <c r="F14" s="82">
        <v>25</v>
      </c>
    </row>
    <row r="15" spans="1:6" ht="12.75">
      <c r="A15" s="4"/>
      <c r="B15" s="264">
        <v>42</v>
      </c>
      <c r="C15" s="87">
        <f t="shared" si="0"/>
        <v>12</v>
      </c>
      <c r="D15" s="4"/>
      <c r="E15" s="269">
        <f>IF(6HearingLoss!H$3&gt;C14,B15,)</f>
        <v>0</v>
      </c>
      <c r="F15" s="82">
        <v>25</v>
      </c>
    </row>
    <row r="16" spans="1:6" ht="12.75">
      <c r="A16" s="267" t="s">
        <v>226</v>
      </c>
      <c r="B16" s="87">
        <f>B15+8/4</f>
        <v>44</v>
      </c>
      <c r="C16" s="87">
        <f t="shared" si="0"/>
        <v>13</v>
      </c>
      <c r="E16" s="269">
        <f>IF(6HearingLoss!H$3&gt;C15,B16,)</f>
        <v>0</v>
      </c>
      <c r="F16" s="82">
        <v>25</v>
      </c>
    </row>
    <row r="17" spans="1:6" ht="12.75">
      <c r="A17" s="4"/>
      <c r="B17" s="87">
        <f>B16+8/4</f>
        <v>46</v>
      </c>
      <c r="C17" s="87">
        <f t="shared" si="0"/>
        <v>14</v>
      </c>
      <c r="D17" s="267"/>
      <c r="E17" s="269">
        <f>IF(6HearingLoss!H$3&gt;C16,B17,)</f>
        <v>0</v>
      </c>
      <c r="F17" s="82">
        <v>25</v>
      </c>
    </row>
    <row r="18" spans="1:6" ht="12.75">
      <c r="A18" s="4"/>
      <c r="B18" s="87">
        <f>B17+8/4</f>
        <v>48</v>
      </c>
      <c r="C18" s="87">
        <f t="shared" si="0"/>
        <v>15</v>
      </c>
      <c r="D18" s="4">
        <v>50</v>
      </c>
      <c r="E18" s="269">
        <f>IF(6HearingLoss!H$3&gt;C17,B18,)</f>
        <v>0</v>
      </c>
      <c r="F18" s="82">
        <v>25</v>
      </c>
    </row>
    <row r="19" spans="1:6" ht="12.75">
      <c r="A19" s="4"/>
      <c r="B19" s="264">
        <v>50</v>
      </c>
      <c r="C19" s="87">
        <f t="shared" si="0"/>
        <v>16</v>
      </c>
      <c r="D19" s="4"/>
      <c r="E19" s="269">
        <f>IF(6HearingLoss!H$3&gt;C18,B19,)</f>
        <v>0</v>
      </c>
      <c r="F19" s="82">
        <v>25</v>
      </c>
    </row>
    <row r="20" spans="1:6" ht="12.75">
      <c r="A20" s="87"/>
      <c r="B20" s="87">
        <f aca="true" t="shared" si="1" ref="B20:B33">B19+12/15</f>
        <v>50.8</v>
      </c>
      <c r="C20" s="87">
        <f t="shared" si="0"/>
        <v>17</v>
      </c>
      <c r="D20" s="87"/>
      <c r="E20" s="269">
        <f>IF(6HearingLoss!H$3&gt;C19,B20,)</f>
        <v>0</v>
      </c>
      <c r="F20" s="82">
        <v>25</v>
      </c>
    </row>
    <row r="21" spans="1:6" ht="12.75">
      <c r="A21" s="87"/>
      <c r="B21" s="87">
        <f t="shared" si="1"/>
        <v>51.599999999999994</v>
      </c>
      <c r="C21" s="87">
        <f t="shared" si="0"/>
        <v>18</v>
      </c>
      <c r="D21" s="87"/>
      <c r="E21" s="269">
        <f>IF(6HearingLoss!H$3&gt;C20,B21,)</f>
        <v>0</v>
      </c>
      <c r="F21" s="82">
        <v>25</v>
      </c>
    </row>
    <row r="22" spans="1:6" ht="12.75">
      <c r="A22" s="87"/>
      <c r="B22" s="87">
        <f t="shared" si="1"/>
        <v>52.39999999999999</v>
      </c>
      <c r="C22" s="87">
        <f t="shared" si="0"/>
        <v>19</v>
      </c>
      <c r="D22" s="87"/>
      <c r="E22" s="269">
        <f>IF(6HearingLoss!H$3&gt;C21,B22,)</f>
        <v>0</v>
      </c>
      <c r="F22" s="82">
        <v>25</v>
      </c>
    </row>
    <row r="23" spans="1:6" ht="12.75">
      <c r="A23" s="87"/>
      <c r="B23" s="87">
        <f t="shared" si="1"/>
        <v>53.19999999999999</v>
      </c>
      <c r="C23" s="87">
        <f t="shared" si="0"/>
        <v>20</v>
      </c>
      <c r="D23" s="87"/>
      <c r="E23" s="269">
        <f>IF(6HearingLoss!H$3&gt;C22,B23,)</f>
        <v>0</v>
      </c>
      <c r="F23" s="82">
        <v>25</v>
      </c>
    </row>
    <row r="24" spans="1:6" ht="12.75">
      <c r="A24" s="87"/>
      <c r="B24" s="87">
        <f t="shared" si="1"/>
        <v>53.999999999999986</v>
      </c>
      <c r="C24" s="87">
        <f t="shared" si="0"/>
        <v>21</v>
      </c>
      <c r="D24" s="87"/>
      <c r="E24" s="269">
        <f>IF(6HearingLoss!H$3&gt;C23,B24,)</f>
        <v>0</v>
      </c>
      <c r="F24" s="82">
        <v>25</v>
      </c>
    </row>
    <row r="25" spans="1:6" ht="12.75">
      <c r="A25" s="268" t="s">
        <v>227</v>
      </c>
      <c r="B25" s="87">
        <f t="shared" si="1"/>
        <v>54.79999999999998</v>
      </c>
      <c r="C25" s="87">
        <f t="shared" si="0"/>
        <v>22</v>
      </c>
      <c r="E25" s="269">
        <f>IF(6HearingLoss!H$3&gt;C24,B25,)</f>
        <v>0</v>
      </c>
      <c r="F25" s="82">
        <v>25</v>
      </c>
    </row>
    <row r="26" spans="1:6" ht="12.75">
      <c r="A26" s="87"/>
      <c r="B26" s="87">
        <f t="shared" si="1"/>
        <v>55.59999999999998</v>
      </c>
      <c r="C26" s="87">
        <f t="shared" si="0"/>
        <v>23</v>
      </c>
      <c r="D26" s="87"/>
      <c r="E26" s="269">
        <f>IF(6HearingLoss!H$3&gt;C25,B26,)</f>
        <v>0</v>
      </c>
      <c r="F26" s="82">
        <v>25</v>
      </c>
    </row>
    <row r="27" spans="1:6" ht="12.75">
      <c r="A27" s="87"/>
      <c r="B27" s="87">
        <f t="shared" si="1"/>
        <v>56.39999999999998</v>
      </c>
      <c r="C27" s="87">
        <f t="shared" si="0"/>
        <v>24</v>
      </c>
      <c r="D27" s="268"/>
      <c r="E27" s="269">
        <f>IF(6HearingLoss!H$3&gt;C26,B27,)</f>
        <v>0</v>
      </c>
      <c r="F27" s="82">
        <v>25</v>
      </c>
    </row>
    <row r="28" spans="1:6" ht="12.75">
      <c r="A28" s="87"/>
      <c r="B28" s="87">
        <f t="shared" si="1"/>
        <v>57.199999999999974</v>
      </c>
      <c r="C28" s="87">
        <f t="shared" si="0"/>
        <v>25</v>
      </c>
      <c r="D28" s="87"/>
      <c r="E28" s="269">
        <f>IF(6HearingLoss!H$3&gt;C27,B28,)</f>
        <v>0</v>
      </c>
      <c r="F28" s="82">
        <v>25</v>
      </c>
    </row>
    <row r="29" spans="1:6" ht="12.75">
      <c r="A29" s="87"/>
      <c r="B29" s="87">
        <f t="shared" si="1"/>
        <v>57.99999999999997</v>
      </c>
      <c r="C29" s="87">
        <f t="shared" si="0"/>
        <v>26</v>
      </c>
      <c r="D29" s="87"/>
      <c r="E29" s="269">
        <f>IF(6HearingLoss!H$3&gt;C28,B29,)</f>
        <v>0</v>
      </c>
      <c r="F29" s="82">
        <v>25</v>
      </c>
    </row>
    <row r="30" spans="1:6" ht="12.75">
      <c r="A30" s="87"/>
      <c r="B30" s="87">
        <f t="shared" si="1"/>
        <v>58.79999999999997</v>
      </c>
      <c r="C30" s="87">
        <f t="shared" si="0"/>
        <v>27</v>
      </c>
      <c r="D30" s="87"/>
      <c r="E30" s="269">
        <f>IF(6HearingLoss!H$3&gt;C29,B30,)</f>
        <v>0</v>
      </c>
      <c r="F30" s="82">
        <v>25</v>
      </c>
    </row>
    <row r="31" spans="1:6" ht="12.75">
      <c r="A31" s="87"/>
      <c r="B31" s="87">
        <f t="shared" si="1"/>
        <v>59.599999999999966</v>
      </c>
      <c r="C31" s="87">
        <f t="shared" si="0"/>
        <v>28</v>
      </c>
      <c r="D31" s="87"/>
      <c r="E31" s="269">
        <f>IF(6HearingLoss!H$3&gt;C30,B31,)</f>
        <v>0</v>
      </c>
      <c r="F31" s="82">
        <v>25</v>
      </c>
    </row>
    <row r="32" spans="1:6" ht="12.75">
      <c r="A32" s="87"/>
      <c r="B32" s="87">
        <f t="shared" si="1"/>
        <v>60.39999999999996</v>
      </c>
      <c r="C32" s="87">
        <f t="shared" si="0"/>
        <v>29</v>
      </c>
      <c r="D32" s="87"/>
      <c r="E32" s="269">
        <f>IF(6HearingLoss!H$3&gt;C31,B32,)</f>
        <v>0</v>
      </c>
      <c r="F32" s="82">
        <v>25</v>
      </c>
    </row>
    <row r="33" spans="1:6" ht="12.75">
      <c r="A33" s="87"/>
      <c r="B33" s="87">
        <f t="shared" si="1"/>
        <v>61.19999999999996</v>
      </c>
      <c r="C33" s="87">
        <f t="shared" si="0"/>
        <v>30</v>
      </c>
      <c r="D33" s="87"/>
      <c r="E33" s="269">
        <f>IF(6HearingLoss!H$3&gt;C32,B33,)</f>
        <v>0</v>
      </c>
      <c r="F33" s="82">
        <v>25</v>
      </c>
    </row>
    <row r="34" spans="1:6" ht="12.75">
      <c r="A34" s="87"/>
      <c r="B34" s="265">
        <v>62</v>
      </c>
      <c r="C34" s="87">
        <f t="shared" si="0"/>
        <v>31</v>
      </c>
      <c r="D34" s="87">
        <v>71</v>
      </c>
      <c r="E34" s="269">
        <f>IF(6HearingLoss!H$3&gt;C33,B34,)</f>
        <v>0</v>
      </c>
      <c r="F34" s="82">
        <v>25</v>
      </c>
    </row>
    <row r="35" spans="1:6" ht="12.75">
      <c r="A35" s="4"/>
      <c r="B35" s="4"/>
      <c r="C35" s="87"/>
      <c r="D35" s="87"/>
      <c r="E35" s="4"/>
      <c r="F35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workbookViewId="0" topLeftCell="A1">
      <selection activeCell="A50" sqref="A50"/>
    </sheetView>
  </sheetViews>
  <sheetFormatPr defaultColWidth="9.140625" defaultRowHeight="12.75"/>
  <cols>
    <col min="1" max="7" width="7.7109375" style="0" customWidth="1"/>
  </cols>
  <sheetData>
    <row r="1" spans="1:11" ht="15" customHeight="1">
      <c r="A1" s="216" t="s">
        <v>222</v>
      </c>
      <c r="B1" s="216"/>
      <c r="C1" s="4"/>
      <c r="D1" s="4"/>
      <c r="E1" s="4"/>
      <c r="F1" s="4"/>
      <c r="G1" s="4"/>
      <c r="I1" s="4"/>
      <c r="J1" s="4"/>
      <c r="K1" s="4"/>
    </row>
    <row r="2" spans="1:11" ht="12.75" customHeight="1">
      <c r="A2" s="4"/>
      <c r="B2" s="4"/>
      <c r="C2" s="4"/>
      <c r="D2" s="4"/>
      <c r="E2" s="4"/>
      <c r="F2" s="4"/>
      <c r="G2" s="4"/>
      <c r="H2" s="319"/>
      <c r="I2" s="4"/>
      <c r="J2" s="4"/>
      <c r="K2" s="4"/>
    </row>
    <row r="3" spans="1:11" ht="15.75" customHeight="1">
      <c r="A3" s="4"/>
      <c r="B3" s="4"/>
      <c r="C3" s="4"/>
      <c r="D3" s="4"/>
      <c r="E3" s="4"/>
      <c r="F3" s="4"/>
      <c r="G3" s="4"/>
      <c r="H3" s="319">
        <v>7</v>
      </c>
      <c r="I3" s="270" t="s">
        <v>231</v>
      </c>
      <c r="J3" s="4"/>
      <c r="K3" s="4"/>
    </row>
    <row r="4" spans="1:11" ht="15.75">
      <c r="A4" s="4" t="s">
        <v>232</v>
      </c>
      <c r="B4" s="4"/>
      <c r="C4" s="4"/>
      <c r="D4" s="4"/>
      <c r="E4" s="4"/>
      <c r="F4" s="4"/>
      <c r="G4" s="4"/>
      <c r="H4" s="4"/>
      <c r="I4" s="272"/>
      <c r="J4" s="62"/>
      <c r="K4" s="4"/>
    </row>
    <row r="5" spans="1:11" ht="15.75">
      <c r="A5" s="349" t="s">
        <v>257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16.5" thickBot="1">
      <c r="A6" s="4"/>
      <c r="B6" s="4"/>
      <c r="C6" s="352">
        <v>7</v>
      </c>
      <c r="D6" s="352"/>
      <c r="E6" s="16" t="s">
        <v>19</v>
      </c>
      <c r="F6" s="197" t="str">
        <f>IF(C6=7,"Correct!","Try again.")</f>
        <v>Correct!</v>
      </c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87"/>
      <c r="D36" s="87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 t="s">
        <v>88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2">
    <mergeCell ref="C6:D6"/>
    <mergeCell ref="A5:K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Heather</cp:lastModifiedBy>
  <cp:lastPrinted>2005-11-30T12:03:56Z</cp:lastPrinted>
  <dcterms:created xsi:type="dcterms:W3CDTF">2004-10-12T22:56:54Z</dcterms:created>
  <dcterms:modified xsi:type="dcterms:W3CDTF">2005-11-30T16:24:47Z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-1724010313</vt:i4>
  </property>
  <property fmtid="{D5CDD505-2E9C-101B-9397-08002B2CF9AE}" pid="3" name="_EmailSubject">
    <vt:lpwstr>CT</vt:lpwstr>
  </property>
  <property fmtid="{D5CDD505-2E9C-101B-9397-08002B2CF9AE}" pid="4" name="_AuthorEmail">
    <vt:lpwstr>melmyers@bellsouth.net</vt:lpwstr>
  </property>
  <property fmtid="{D5CDD505-2E9C-101B-9397-08002B2CF9AE}" pid="5" name="_AuthorEmailDisplayName">
    <vt:lpwstr>Melvin L. Myers</vt:lpwstr>
  </property>
  <property fmtid="{D5CDD505-2E9C-101B-9397-08002B2CF9AE}" pid="6" name="_PreviousAdHocReviewCycleID">
    <vt:i4>-1812243688</vt:i4>
  </property>
  <property fmtid="{D5CDD505-2E9C-101B-9397-08002B2CF9AE}" pid="7" name="_ReviewingToolsShownOnce">
    <vt:lpwstr/>
  </property>
</Properties>
</file>