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625" firstSheet="7" activeTab="14"/>
  </bookViews>
  <sheets>
    <sheet name="1JakesDeath" sheetId="1" r:id="rId1"/>
    <sheet name="2SamsDeath" sheetId="2" r:id="rId2"/>
    <sheet name="3Insurance" sheetId="3" r:id="rId3"/>
    <sheet name="4SocialCost" sheetId="4" r:id="rId4"/>
    <sheet name="5RiskFactors" sheetId="5" r:id="rId5"/>
    <sheet name="6InterventionCost" sheetId="6" r:id="rId6"/>
    <sheet name="7Damages" sheetId="7" r:id="rId7"/>
    <sheet name="8Probabilities" sheetId="8" r:id="rId8"/>
    <sheet name="9InjuriesAverted" sheetId="9" r:id="rId9"/>
    <sheet name="DecisionTree" sheetId="10" state="hidden" r:id="rId10"/>
    <sheet name="10CostSchedule" sheetId="11" r:id="rId11"/>
    <sheet name="11Inflation" sheetId="12" r:id="rId12"/>
    <sheet name="Discounting" sheetId="13" state="hidden" r:id="rId13"/>
    <sheet name="ExpectedCost" sheetId="14" state="hidden" r:id="rId14"/>
    <sheet name="12CostEffectiveness" sheetId="15" r:id="rId15"/>
    <sheet name="BreakEven" sheetId="16" state="hidden" r:id="rId16"/>
    <sheet name="BenefitCost" sheetId="17" state="hidden" r:id="rId17"/>
  </sheets>
  <definedNames>
    <definedName name="_xlnm.Print_Area" localSheetId="4">'5RiskFactors'!$A$1:$K$46</definedName>
    <definedName name="_xlnm.Print_Area" localSheetId="5">'6InterventionCost'!$A$1:$I$45</definedName>
  </definedNames>
  <calcPr fullCalcOnLoad="1"/>
</workbook>
</file>

<file path=xl/comments10.xml><?xml version="1.0" encoding="utf-8"?>
<comments xmlns="http://schemas.openxmlformats.org/spreadsheetml/2006/main">
  <authors>
    <author>Preferred Customer</author>
  </authors>
  <commentList>
    <comment ref="I17" authorId="0">
      <text>
        <r>
          <rPr>
            <b/>
            <sz val="8"/>
            <rFont val="Tahoma"/>
            <family val="0"/>
          </rPr>
          <t>Note that this column of probilities adds up to 1.</t>
        </r>
      </text>
    </comment>
    <comment ref="I40" authorId="0">
      <text>
        <r>
          <rPr>
            <b/>
            <sz val="8"/>
            <rFont val="Tahoma"/>
            <family val="0"/>
          </rPr>
          <t xml:space="preserve">Note that this column of probabilties adds up t 1. </t>
        </r>
      </text>
    </comment>
    <comment ref="F20" authorId="0">
      <text>
        <r>
          <rPr>
            <b/>
            <sz val="8"/>
            <rFont val="Tahoma"/>
            <family val="0"/>
          </rPr>
          <t>This value is equal to 1 minus the probability of an overturn.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This value is the result of 1 minus the probability of an overturn. </t>
        </r>
      </text>
    </comment>
    <comment ref="Q27" authorId="0">
      <text>
        <r>
          <rPr>
            <b/>
            <sz val="8"/>
            <rFont val="Tahoma"/>
            <family val="0"/>
          </rPr>
          <t>No ROPS minus ROPS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Preferred Customer</author>
    <author>Melvin Myers</author>
  </authors>
  <commentList>
    <comment ref="B8" authorId="0">
      <text>
        <r>
          <rPr>
            <b/>
            <sz val="8"/>
            <rFont val="Tahoma"/>
            <family val="0"/>
          </rPr>
          <t>Maximum Abbreviated Injury Scale</t>
        </r>
      </text>
    </comment>
    <comment ref="D7" authorId="1">
      <text>
        <r>
          <rPr>
            <b/>
            <sz val="8"/>
            <rFont val="Tahoma"/>
            <family val="0"/>
          </rPr>
          <t>The year in which this injury cost data was calculated.</t>
        </r>
      </text>
    </comment>
  </commentList>
</comments>
</file>

<file path=xl/comments12.xml><?xml version="1.0" encoding="utf-8"?>
<comments xmlns="http://schemas.openxmlformats.org/spreadsheetml/2006/main">
  <authors>
    <author>Preferred Customer</author>
    <author>Melvin Myers</author>
  </authors>
  <commentList>
    <comment ref="B3" authorId="0">
      <text>
        <r>
          <rPr>
            <b/>
            <sz val="8"/>
            <rFont val="Tahoma"/>
            <family val="0"/>
          </rPr>
          <t>Maximum Abbreviated Injury Scale</t>
        </r>
      </text>
    </comment>
    <comment ref="B14" authorId="1">
      <text>
        <r>
          <rPr>
            <b/>
            <sz val="8"/>
            <rFont val="Tahoma"/>
            <family val="0"/>
          </rPr>
          <t xml:space="preserve">Place this figure into the "Inflation Calculator" at the web site. </t>
        </r>
      </text>
    </comment>
  </commentList>
</comments>
</file>

<file path=xl/comments13.xml><?xml version="1.0" encoding="utf-8"?>
<comments xmlns="http://schemas.openxmlformats.org/spreadsheetml/2006/main">
  <authors>
    <author>Preferred Customer</author>
    <author>Melvin Myers</author>
  </authors>
  <commentList>
    <comment ref="A18" authorId="0">
      <text>
        <r>
          <rPr>
            <b/>
            <sz val="8"/>
            <rFont val="Tahoma"/>
            <family val="0"/>
          </rPr>
          <t>When used in a calculation involving discounting, this number is also discounted.</t>
        </r>
      </text>
    </comment>
    <comment ref="C2" authorId="1">
      <text>
        <r>
          <rPr>
            <b/>
            <sz val="8"/>
            <rFont val="Tahoma"/>
            <family val="0"/>
          </rPr>
          <t xml:space="preserve">The accepted "social" discount rate is 3%. </t>
        </r>
      </text>
    </comment>
    <comment ref="C5" authorId="1">
      <text>
        <r>
          <rPr>
            <b/>
            <sz val="8"/>
            <rFont val="Tahoma"/>
            <family val="0"/>
          </rPr>
          <t xml:space="preserve">Assume 25 years between the the life of the tractor and of the victim. </t>
        </r>
      </text>
    </comment>
    <comment ref="A5" authorId="0">
      <text>
        <r>
          <rPr>
            <b/>
            <sz val="8"/>
            <rFont val="Tahoma"/>
            <family val="0"/>
          </rPr>
          <t>Also called "Analytic Horizon"</t>
        </r>
      </text>
    </comment>
  </commentList>
</comments>
</file>

<file path=xl/comments15.xml><?xml version="1.0" encoding="utf-8"?>
<comments xmlns="http://schemas.openxmlformats.org/spreadsheetml/2006/main">
  <authors>
    <author>Preferred Customer</author>
    <author>Melvin Myers</author>
  </authors>
  <commentList>
    <comment ref="B16" authorId="0">
      <text>
        <r>
          <rPr>
            <b/>
            <sz val="8"/>
            <rFont val="Tahoma"/>
            <family val="0"/>
          </rPr>
          <t>Net cost/injury total</t>
        </r>
      </text>
    </comment>
    <comment ref="B2" authorId="1">
      <text>
        <r>
          <rPr>
            <b/>
            <sz val="8"/>
            <rFont val="Tahoma"/>
            <family val="0"/>
          </rPr>
          <t>Slide the button along the scroll bar shown to the right.</t>
        </r>
      </text>
    </comment>
  </commentList>
</comments>
</file>

<file path=xl/comments16.xml><?xml version="1.0" encoding="utf-8"?>
<comments xmlns="http://schemas.openxmlformats.org/spreadsheetml/2006/main">
  <authors>
    <author>Preferred Customer</author>
  </authors>
  <commentList>
    <comment ref="A12" authorId="0">
      <text>
        <r>
          <rPr>
            <b/>
            <sz val="8"/>
            <rFont val="Tahoma"/>
            <family val="0"/>
          </rPr>
          <t>Number of years for the investment to equal the potential benefits.</t>
        </r>
      </text>
    </comment>
    <comment ref="B12" authorId="0">
      <text>
        <r>
          <rPr>
            <b/>
            <sz val="8"/>
            <rFont val="Tahoma"/>
            <family val="0"/>
          </rPr>
          <t>Intervention cost/ sum of injury costs (benefit) per year</t>
        </r>
      </text>
    </comment>
  </commentList>
</comments>
</file>

<file path=xl/comments17.xml><?xml version="1.0" encoding="utf-8"?>
<comments xmlns="http://schemas.openxmlformats.org/spreadsheetml/2006/main">
  <authors>
    <author>Preferred Customer</author>
  </authors>
  <commentList>
    <comment ref="B13" authorId="0">
      <text>
        <r>
          <rPr>
            <b/>
            <sz val="8"/>
            <rFont val="Tahoma"/>
            <family val="0"/>
          </rPr>
          <t>Benefit/Cost</t>
        </r>
      </text>
    </comment>
  </commentList>
</comments>
</file>

<file path=xl/comments3.xml><?xml version="1.0" encoding="utf-8"?>
<comments xmlns="http://schemas.openxmlformats.org/spreadsheetml/2006/main">
  <authors>
    <author>Melvin Myers</author>
  </authors>
  <commentList>
    <comment ref="D12" authorId="0">
      <text>
        <r>
          <rPr>
            <b/>
            <sz val="8"/>
            <rFont val="Tahoma"/>
            <family val="0"/>
          </rPr>
          <t>The payment was based upon Sam's annual salary of $65,000 less the first $20,000 per year.</t>
        </r>
      </text>
    </comment>
    <comment ref="C4" authorId="0">
      <text>
        <r>
          <rPr>
            <b/>
            <sz val="8"/>
            <rFont val="Tahoma"/>
            <family val="0"/>
          </rPr>
          <t>Received by Sam's wife.</t>
        </r>
      </text>
    </comment>
  </commentList>
</comments>
</file>

<file path=xl/comments4.xml><?xml version="1.0" encoding="utf-8"?>
<comments xmlns="http://schemas.openxmlformats.org/spreadsheetml/2006/main">
  <authors>
    <author>Melvin Myers</author>
  </authors>
  <commentList>
    <comment ref="G3" authorId="0">
      <text>
        <r>
          <rPr>
            <b/>
            <sz val="8"/>
            <rFont val="Tahoma"/>
            <family val="0"/>
          </rPr>
          <t>Macro-economic level.
Social costs include all costs no matter how they are distributed.</t>
        </r>
      </text>
    </comment>
    <comment ref="C3" authorId="0">
      <text>
        <r>
          <rPr>
            <b/>
            <sz val="8"/>
            <rFont val="Tahoma"/>
            <family val="0"/>
          </rPr>
          <t>Mirco-economic level</t>
        </r>
      </text>
    </comment>
    <comment ref="D3" authorId="0">
      <text>
        <r>
          <rPr>
            <b/>
            <sz val="8"/>
            <rFont val="Tahoma"/>
            <family val="0"/>
          </rPr>
          <t>Micro-economic level</t>
        </r>
      </text>
    </comment>
    <comment ref="E3" authorId="0">
      <text>
        <r>
          <rPr>
            <b/>
            <sz val="8"/>
            <rFont val="Tahoma"/>
            <family val="0"/>
          </rPr>
          <t>Micro-economic level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Melvin Myers</author>
  </authors>
  <commentList>
    <comment ref="A2" authorId="0">
      <text>
        <r>
          <rPr>
            <b/>
            <sz val="8"/>
            <rFont val="Tahoma"/>
            <family val="0"/>
          </rPr>
          <t>This percentage appears high because it is based on a standard work year of 2000 hours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With a typical 46 hours of driving time per farm on roadways, the risk would be 0.61%. </t>
        </r>
      </text>
    </comment>
  </commentList>
</comments>
</file>

<file path=xl/comments7.xml><?xml version="1.0" encoding="utf-8"?>
<comments xmlns="http://schemas.openxmlformats.org/spreadsheetml/2006/main">
  <authors>
    <author>Melvin Myers</author>
  </authors>
  <commentList>
    <comment ref="C5" authorId="0">
      <text>
        <r>
          <rPr>
            <b/>
            <sz val="8"/>
            <rFont val="Tahoma"/>
            <family val="0"/>
          </rPr>
          <t>This is equal to the benefits minus the premiums paid by Sam.</t>
        </r>
      </text>
    </comment>
    <comment ref="A6" authorId="0">
      <text>
        <r>
          <rPr>
            <b/>
            <sz val="8"/>
            <rFont val="Tahoma"/>
            <family val="0"/>
          </rPr>
          <t>Also punitive damages.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Melvin Myers</author>
  </authors>
  <commentList>
    <comment ref="G3" authorId="0">
      <text>
        <r>
          <rPr>
            <b/>
            <sz val="8"/>
            <rFont val="Tahoma"/>
            <family val="0"/>
          </rPr>
          <t xml:space="preserve">This is if each driver was on the road full time 2000 hours per year. 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The potential exposure for automobile drivers is the same as for tractor drivers, for when the tractors are not on the road, the exposure does not exist. </t>
        </r>
      </text>
    </comment>
  </commentList>
</comments>
</file>

<file path=xl/sharedStrings.xml><?xml version="1.0" encoding="utf-8"?>
<sst xmlns="http://schemas.openxmlformats.org/spreadsheetml/2006/main" count="486" uniqueCount="274">
  <si>
    <t>CHOICE</t>
  </si>
  <si>
    <t>OUTCOME</t>
  </si>
  <si>
    <t>Pr_o=</t>
  </si>
  <si>
    <t>Death</t>
  </si>
  <si>
    <t>Pr_d=</t>
  </si>
  <si>
    <t>well</t>
  </si>
  <si>
    <t>EVENT</t>
  </si>
  <si>
    <t>CONSEQUENCE</t>
  </si>
  <si>
    <t>Probability</t>
  </si>
  <si>
    <t>Of death</t>
  </si>
  <si>
    <t>Disability</t>
  </si>
  <si>
    <t>Outpatient</t>
  </si>
  <si>
    <t>No injury</t>
  </si>
  <si>
    <t>Hospitalized</t>
  </si>
  <si>
    <t>minor</t>
  </si>
  <si>
    <t>Intervention</t>
  </si>
  <si>
    <t>TOTAL</t>
  </si>
  <si>
    <t>Discount rate</t>
  </si>
  <si>
    <t>Time Horizon</t>
  </si>
  <si>
    <t>years</t>
  </si>
  <si>
    <t>in social policy, 3% is typically used</t>
  </si>
  <si>
    <t>for example, expected remaining lifetime of the victim.</t>
  </si>
  <si>
    <t>DEATH</t>
  </si>
  <si>
    <t>DISABILITY</t>
  </si>
  <si>
    <t>OUTPATIENT</t>
  </si>
  <si>
    <t>COSTS</t>
  </si>
  <si>
    <t>Discount Rate</t>
  </si>
  <si>
    <t>INJURIES</t>
  </si>
  <si>
    <t>NET COST</t>
  </si>
  <si>
    <t>per injury averted</t>
  </si>
  <si>
    <t>Pr_f=</t>
  </si>
  <si>
    <t>Pr_h=</t>
  </si>
  <si>
    <t>Pr_i=</t>
  </si>
  <si>
    <t>MAIS 6</t>
  </si>
  <si>
    <t>critical/severe</t>
  </si>
  <si>
    <t>serious/moderate</t>
  </si>
  <si>
    <t>injury, MAIS 5</t>
  </si>
  <si>
    <t>injury, MAIS 3</t>
  </si>
  <si>
    <t>injury, MAIS 1</t>
  </si>
  <si>
    <t>fatal</t>
  </si>
  <si>
    <t>MAIS</t>
  </si>
  <si>
    <t>fatal, 6</t>
  </si>
  <si>
    <t>www.bls.gov/cpi/home.htm</t>
  </si>
  <si>
    <t xml:space="preserve">in </t>
  </si>
  <si>
    <t>has the same buying power as</t>
  </si>
  <si>
    <t>Inflation adjusted</t>
  </si>
  <si>
    <t>Inflation Calculator</t>
  </si>
  <si>
    <r>
      <t>Pr_d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</si>
  <si>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</si>
  <si>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</si>
  <si>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</si>
  <si>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t>deaths</t>
  </si>
  <si>
    <t>disabilities</t>
  </si>
  <si>
    <t>Cost</t>
  </si>
  <si>
    <t>Direct Costs</t>
  </si>
  <si>
    <t>Farm</t>
  </si>
  <si>
    <t>Sub-Total</t>
  </si>
  <si>
    <t>Kayle's Experience</t>
  </si>
  <si>
    <t>Society</t>
  </si>
  <si>
    <t>BREAK-EVEN POINT</t>
  </si>
  <si>
    <t xml:space="preserve">GO TO: </t>
  </si>
  <si>
    <t>TOTAL INJURY COST</t>
  </si>
  <si>
    <t>fill in this value from the web site</t>
  </si>
  <si>
    <t>NOTE THAT NEGATIVE COSTS ARE POTENTIAL SAVINGS!</t>
  </si>
  <si>
    <t>1-Pr_o=</t>
  </si>
  <si>
    <r>
      <t>1-sum(Pr_f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:Pr_i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)=</t>
    </r>
  </si>
  <si>
    <r>
      <t>1-sum(Pr_f</t>
    </r>
    <r>
      <rPr>
        <sz val="10"/>
        <rFont val="Arial"/>
        <family val="0"/>
      </rPr>
      <t>:Pr_i</t>
    </r>
    <r>
      <rPr>
        <sz val="10"/>
        <rFont val="Arial"/>
        <family val="0"/>
      </rPr>
      <t>)=</t>
    </r>
  </si>
  <si>
    <t>unit</t>
  </si>
  <si>
    <t>cost/unit</t>
  </si>
  <si>
    <t>no. units</t>
  </si>
  <si>
    <t>Intervention Cost</t>
  </si>
  <si>
    <t>Total</t>
  </si>
  <si>
    <t>Injury Cost</t>
  </si>
  <si>
    <t>Risk Factors</t>
  </si>
  <si>
    <t>COST EFFECTIVENESS</t>
  </si>
  <si>
    <t>BENEFIT/COST RATIO</t>
  </si>
  <si>
    <t xml:space="preserve">Benefit </t>
  </si>
  <si>
    <t>Indirect Costs (production)</t>
  </si>
  <si>
    <t>Substitute labor</t>
  </si>
  <si>
    <t>Ratio (Benefit/Cost)</t>
  </si>
  <si>
    <t>months</t>
  </si>
  <si>
    <t>Social</t>
  </si>
  <si>
    <t>Cost Schedule</t>
  </si>
  <si>
    <t>Injury Data Base Year</t>
  </si>
  <si>
    <t>Kayles Farm</t>
  </si>
  <si>
    <t>Overturn Injury Cost</t>
  </si>
  <si>
    <t>INJURY TOTAL</t>
  </si>
  <si>
    <r>
      <t>Pr_o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</si>
  <si>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1-Pr_o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</si>
  <si>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t>hospitalizations</t>
  </si>
  <si>
    <t>outpatients</t>
  </si>
  <si>
    <t>Kentucky</t>
  </si>
  <si>
    <t>Society (Kayles Injury)</t>
  </si>
  <si>
    <t>Ratio</t>
  </si>
  <si>
    <t>In juries Averted</t>
  </si>
  <si>
    <t>Injury Severity</t>
  </si>
  <si>
    <t>Cost (value)</t>
  </si>
  <si>
    <t>Product</t>
  </si>
  <si>
    <t>NO INJURY</t>
  </si>
  <si>
    <t>Expected Cost of an Overturn</t>
  </si>
  <si>
    <t>Contributions of Overturn Cost Factors</t>
  </si>
  <si>
    <t>Costs Associated with Injury Severity</t>
  </si>
  <si>
    <t>per 100,000 tractors</t>
  </si>
  <si>
    <t xml:space="preserve"> drivers per year</t>
  </si>
  <si>
    <t>each</t>
  </si>
  <si>
    <t>year</t>
  </si>
  <si>
    <t>WORKSHEET 7--DecisionTree</t>
  </si>
  <si>
    <t>WORKSHEET 7, Page 2</t>
  </si>
  <si>
    <t>sum of injuries</t>
  </si>
  <si>
    <t>Injuries Averted</t>
  </si>
  <si>
    <t>differences</t>
  </si>
  <si>
    <t>Injuries per 100,000 Tractor Drivers</t>
  </si>
  <si>
    <t>inflation</t>
  </si>
  <si>
    <t>in 2005</t>
  </si>
  <si>
    <t>WORKSHEET 10--Discounting Future Dollars</t>
  </si>
  <si>
    <t>Choose the number of years covered by the analysis;</t>
  </si>
  <si>
    <t>WORKSHEET 11--Expected Cost (negative value)</t>
  </si>
  <si>
    <t>WORKSHEET 12--Cost Effectiveness Analysis</t>
  </si>
  <si>
    <t>WORKSHEET 13--Break-Even Analysis</t>
  </si>
  <si>
    <t>WORKSHEET 14--Benefit/Cost Analysis</t>
  </si>
  <si>
    <t>© Melvin L. Myers, 2005</t>
  </si>
  <si>
    <t>Collision</t>
  </si>
  <si>
    <t>No Collision</t>
  </si>
  <si>
    <t>No Lighting &amp; Marking</t>
  </si>
  <si>
    <t>Lighting &amp; Marking</t>
  </si>
  <si>
    <t>WORKSHEET 1--No Way to Meet a Neighbor: Jake's Death</t>
  </si>
  <si>
    <t>Lost time for Jake</t>
  </si>
  <si>
    <t>Emergency response</t>
  </si>
  <si>
    <t>Coroner</t>
  </si>
  <si>
    <t>Wrecker service</t>
  </si>
  <si>
    <t>Funeral expenses</t>
  </si>
  <si>
    <t>Cemetary expenses</t>
  </si>
  <si>
    <t>Tractor replacement</t>
  </si>
  <si>
    <t>TOTAL DEATH COST</t>
  </si>
  <si>
    <t>Automobile totaled</t>
  </si>
  <si>
    <t>Jake</t>
  </si>
  <si>
    <t>Sam</t>
  </si>
  <si>
    <t>WORKSHEET 2--No Way to Meet a Neighbor: Sam's Death</t>
  </si>
  <si>
    <t>WORKSHEET 7--No Way to Meet a Neighbor: Damages</t>
  </si>
  <si>
    <t>no ROPS or seatbelt</t>
  </si>
  <si>
    <t>narrow highway</t>
  </si>
  <si>
    <t>no turn signals</t>
  </si>
  <si>
    <t>change field access</t>
  </si>
  <si>
    <t>no passing</t>
  </si>
  <si>
    <t>use trailing flag car</t>
  </si>
  <si>
    <t>defensive driving class</t>
  </si>
  <si>
    <t>Likelihood of a farm machinery collision per year per farm</t>
  </si>
  <si>
    <t>Sue's Perspective</t>
  </si>
  <si>
    <t xml:space="preserve">Intervention Costs </t>
  </si>
  <si>
    <t>use caution when turning</t>
  </si>
  <si>
    <t>With turn signals</t>
  </si>
  <si>
    <t>Without turn signals</t>
  </si>
  <si>
    <t>Of serious injury</t>
  </si>
  <si>
    <t>Serious injury</t>
  </si>
  <si>
    <t>Without</t>
  </si>
  <si>
    <t>With</t>
  </si>
  <si>
    <t>Serious</t>
  </si>
  <si>
    <t>Slight</t>
  </si>
  <si>
    <t>with</t>
  </si>
  <si>
    <t>without</t>
  </si>
  <si>
    <t>serious</t>
  </si>
  <si>
    <t>SERIOUS</t>
  </si>
  <si>
    <t>Autopsy</t>
  </si>
  <si>
    <t>Grave marker</t>
  </si>
  <si>
    <t>Wagon and trailer repair</t>
  </si>
  <si>
    <t>Damaged hay</t>
  </si>
  <si>
    <t>load</t>
  </si>
  <si>
    <t>Crop harvest delay</t>
  </si>
  <si>
    <t>Legal fees</t>
  </si>
  <si>
    <t>Loan refinancing</t>
  </si>
  <si>
    <t>hours</t>
  </si>
  <si>
    <t>Death benefit</t>
  </si>
  <si>
    <t>Accidental death benefit</t>
  </si>
  <si>
    <t>Health insurance payments</t>
  </si>
  <si>
    <t>Life insurance benefit</t>
  </si>
  <si>
    <t>life</t>
  </si>
  <si>
    <t>New house difference</t>
  </si>
  <si>
    <t>Moving costs</t>
  </si>
  <si>
    <t>move</t>
  </si>
  <si>
    <t>weeks</t>
  </si>
  <si>
    <t>Lost production by company</t>
  </si>
  <si>
    <t>Training cost for new employee</t>
  </si>
  <si>
    <t>time</t>
  </si>
  <si>
    <t>employee</t>
  </si>
  <si>
    <t>Admistrative leave for funeral</t>
  </si>
  <si>
    <t>Lost time for Sam</t>
  </si>
  <si>
    <t>Company's legal fees</t>
  </si>
  <si>
    <t>Carlos's time</t>
  </si>
  <si>
    <t>Employer</t>
  </si>
  <si>
    <t>Life insurance expense</t>
  </si>
  <si>
    <t>Auto insurance payments</t>
  </si>
  <si>
    <t>Fire &amp; Police response</t>
  </si>
  <si>
    <t xml:space="preserve">Time Horizon: </t>
  </si>
  <si>
    <t xml:space="preserve"> per injury averted</t>
  </si>
  <si>
    <t>Costs</t>
  </si>
  <si>
    <t>Injuries</t>
  </si>
  <si>
    <t>Indirect Costs</t>
  </si>
  <si>
    <t>Jake's Estate</t>
  </si>
  <si>
    <t>Damages</t>
  </si>
  <si>
    <t xml:space="preserve">   Jake's Estate</t>
  </si>
  <si>
    <t xml:space="preserve">   Sam's Estate</t>
  </si>
  <si>
    <t>Insurance Offset</t>
  </si>
  <si>
    <t>Pain &amp; Suffering</t>
  </si>
  <si>
    <t>Injury</t>
  </si>
  <si>
    <t>Turn Signals</t>
  </si>
  <si>
    <t>Turn Signal Effectiveness</t>
  </si>
  <si>
    <t>Social Security payments</t>
  </si>
  <si>
    <t>Total benefits</t>
  </si>
  <si>
    <t>Total paid (premiums)</t>
  </si>
  <si>
    <t>Benefit to Premium Ratio</t>
  </si>
  <si>
    <t>Benefits</t>
  </si>
  <si>
    <t>Accidental Death</t>
  </si>
  <si>
    <t>Auto</t>
  </si>
  <si>
    <t>Health</t>
  </si>
  <si>
    <t>Life</t>
  </si>
  <si>
    <t>Social Security</t>
  </si>
  <si>
    <t>Sam's employer</t>
  </si>
  <si>
    <t>Insurance Costs and Benefits</t>
  </si>
  <si>
    <t>With Inflation</t>
  </si>
  <si>
    <t>Social Security survivors</t>
  </si>
  <si>
    <t>Others</t>
  </si>
  <si>
    <t>Social Security survivor benefits</t>
  </si>
  <si>
    <t>Administrative leave for funeral</t>
  </si>
  <si>
    <t>Of critical injury</t>
  </si>
  <si>
    <t>Of minor injury</t>
  </si>
  <si>
    <t>critical</t>
  </si>
  <si>
    <t>CRITICAL</t>
  </si>
  <si>
    <t>MINOR</t>
  </si>
  <si>
    <t>Minor</t>
  </si>
  <si>
    <t>Critical</t>
  </si>
  <si>
    <r>
      <t xml:space="preserve">Scroll the bar below to change the </t>
    </r>
    <r>
      <rPr>
        <b/>
        <u val="single"/>
        <sz val="10"/>
        <rFont val="Arial"/>
        <family val="0"/>
      </rPr>
      <t>Time Horizon</t>
    </r>
  </si>
  <si>
    <t>Critical injury</t>
  </si>
  <si>
    <t>Minor injury</t>
  </si>
  <si>
    <t>Sam's</t>
  </si>
  <si>
    <t xml:space="preserve">QUESTION 3.2. Are the NET COST results a cost or a savings? </t>
  </si>
  <si>
    <t>savings</t>
  </si>
  <si>
    <t>no</t>
  </si>
  <si>
    <t>yes</t>
  </si>
  <si>
    <t xml:space="preserve">QUESTION 3.1. Observe the chart, Comparison of Death Cost With and Without Inflation. Does the cost inflate? </t>
  </si>
  <si>
    <t>Farm-vehicle</t>
  </si>
  <si>
    <t>Automobile</t>
  </si>
  <si>
    <t xml:space="preserve">QUESTION 3.1. The year that this data is related to is important for use later. What year does the data relate to?  </t>
  </si>
  <si>
    <t xml:space="preserve">QUESTION 2.2. What is the total number of injuries averted per 100,000 farm-vehicle drivers?  </t>
  </si>
  <si>
    <t xml:space="preserve">QUESTION 2.3. What is the total number of injuries averted per 100,000 automobile drivers and occupants?  </t>
  </si>
  <si>
    <t>QUESTION 2.1. Does the potential for “no injury” increase or decrease when turn signals are installed and used?   It . . .</t>
  </si>
  <si>
    <t>increases</t>
  </si>
  <si>
    <t xml:space="preserve">QUESTION 1.6. What is the total intervention cost?  </t>
  </si>
  <si>
    <t>WORKSHEET 6--No Way to Meet a Neighbor: Intervention Cost</t>
  </si>
  <si>
    <t>WORKSHEET 5--No Way to Meet a Neighbor: Risk Factors</t>
  </si>
  <si>
    <t xml:space="preserve">QUESTION 1.5. Which risk factors could be a basis for Sue’s suit against other entities for negligence or product defects? </t>
  </si>
  <si>
    <t>QUESTION 1.4. What is the social cost of this collision?</t>
  </si>
  <si>
    <t>indirect costs</t>
  </si>
  <si>
    <t xml:space="preserve">QUESTION 1.2. Which costs more, indirect costs or direct costs (see chart below)? </t>
  </si>
  <si>
    <t xml:space="preserve">QUESTION 1.1. What was the total cost to Jake’s family related to Jake’s death? </t>
  </si>
  <si>
    <t>Cemetery expenses</t>
  </si>
  <si>
    <t>injuries</t>
  </si>
  <si>
    <t xml:space="preserve">QUESTION 1.7. What is the total amount that Sue will ask for damages on behalf of the two families? </t>
  </si>
  <si>
    <t>critical injuries</t>
  </si>
  <si>
    <t>serious injuries</t>
  </si>
  <si>
    <t>minor injuries</t>
  </si>
  <si>
    <t>CRITICAL INJURY</t>
  </si>
  <si>
    <t>SERIOUS INJURY</t>
  </si>
  <si>
    <t>MINOR INJURY</t>
  </si>
  <si>
    <t>WORKSHEET 8--Probabilities</t>
  </si>
  <si>
    <t>WORKSHEET 4--No Way to Meet a Neighbor: Social Cost</t>
  </si>
  <si>
    <t>WORKSHEET 3--No Way to Meet a Neighbor: Insurance</t>
  </si>
  <si>
    <t>WORKSHEET 9--Injuries Averted</t>
  </si>
  <si>
    <t>WORKSHEET 10--Cost Schedule</t>
  </si>
  <si>
    <t>plot</t>
  </si>
  <si>
    <t xml:space="preserve">QUESTION 1.3. Do the benefits exceed the premiums?   </t>
  </si>
  <si>
    <t xml:space="preserve">QUESTION 3.3. Looking at the COST-EFFECTIVENESS results, do the expected injury costs appear trivial? </t>
  </si>
  <si>
    <t>Sam's Estate</t>
  </si>
  <si>
    <t>Jake and Sam's collision</t>
  </si>
  <si>
    <t>WORKSHEET 11--Inflation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</si>
</sst>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"/>
    <numFmt numFmtId="169" formatCode="&quot;$&quot;#,##0.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"/>
    <numFmt numFmtId="176" formatCode="0.00000%"/>
    <numFmt numFmtId="177" formatCode="0.000%"/>
    <numFmt numFmtId="178" formatCode="0.00000"/>
    <numFmt numFmtId="179" formatCode="#,##0.0"/>
    <numFmt numFmtId="180" formatCode="0.0"/>
    <numFmt numFmtId="181" formatCode="0.000000000"/>
    <numFmt numFmtId="182" formatCode="0.0000000000"/>
    <numFmt numFmtId="183" formatCode="0.000"/>
  </numFmts>
  <fonts count="5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0"/>
    </font>
    <font>
      <u val="single"/>
      <sz val="11"/>
      <color indexed="10"/>
      <name val="Arial"/>
      <family val="0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0.25"/>
      <name val="Arial"/>
      <family val="0"/>
    </font>
    <font>
      <sz val="14.75"/>
      <name val="Arial"/>
      <family val="0"/>
    </font>
    <font>
      <sz val="11.25"/>
      <name val="Arial"/>
      <family val="0"/>
    </font>
    <font>
      <b/>
      <sz val="11"/>
      <color indexed="12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sz val="8"/>
      <name val="Arial"/>
      <family val="0"/>
    </font>
    <font>
      <sz val="15.75"/>
      <name val="Arial"/>
      <family val="0"/>
    </font>
    <font>
      <b/>
      <sz val="14.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11.75"/>
      <name val="Arial"/>
      <family val="2"/>
    </font>
    <font>
      <b/>
      <sz val="11.75"/>
      <color indexed="13"/>
      <name val="Arial"/>
      <family val="2"/>
    </font>
    <font>
      <sz val="9.75"/>
      <name val="Arial"/>
      <family val="0"/>
    </font>
    <font>
      <b/>
      <sz val="9.75"/>
      <name val="Arial"/>
      <family val="2"/>
    </font>
    <font>
      <b/>
      <sz val="14.25"/>
      <name val="Arial"/>
      <family val="0"/>
    </font>
    <font>
      <b/>
      <sz val="15.5"/>
      <name val="Arial"/>
      <family val="0"/>
    </font>
    <font>
      <b/>
      <sz val="14"/>
      <name val="Arial"/>
      <family val="2"/>
    </font>
    <font>
      <sz val="12"/>
      <color indexed="2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2"/>
      <name val="Arial Black"/>
      <family val="2"/>
    </font>
    <font>
      <b/>
      <sz val="11.5"/>
      <color indexed="13"/>
      <name val="Arial"/>
      <family val="2"/>
    </font>
    <font>
      <b/>
      <sz val="12"/>
      <color indexed="12"/>
      <name val="Arial"/>
      <family val="2"/>
    </font>
    <font>
      <sz val="14.75"/>
      <color indexed="13"/>
      <name val="Arial"/>
      <family val="2"/>
    </font>
    <font>
      <b/>
      <sz val="12"/>
      <name val="Times New Roman"/>
      <family val="1"/>
    </font>
    <font>
      <sz val="12"/>
      <color indexed="10"/>
      <name val="Arial Black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3" xfId="0" applyFill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5" fontId="0" fillId="4" borderId="3" xfId="0" applyNumberFormat="1" applyFill="1" applyBorder="1" applyAlignment="1">
      <alignment/>
    </xf>
    <xf numFmtId="166" fontId="0" fillId="4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7" xfId="0" applyFill="1" applyBorder="1" applyAlignment="1">
      <alignment/>
    </xf>
    <xf numFmtId="0" fontId="1" fillId="3" borderId="7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65" fontId="7" fillId="5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0" fontId="7" fillId="5" borderId="10" xfId="0" applyFont="1" applyFill="1" applyBorder="1" applyAlignment="1">
      <alignment/>
    </xf>
    <xf numFmtId="165" fontId="0" fillId="5" borderId="0" xfId="0" applyNumberForma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4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left"/>
    </xf>
    <xf numFmtId="180" fontId="0" fillId="4" borderId="10" xfId="0" applyNumberFormat="1" applyFill="1" applyBorder="1" applyAlignment="1">
      <alignment/>
    </xf>
    <xf numFmtId="165" fontId="0" fillId="5" borderId="0" xfId="0" applyNumberFormat="1" applyFill="1" applyBorder="1" applyAlignment="1">
      <alignment/>
    </xf>
    <xf numFmtId="165" fontId="0" fillId="5" borderId="7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0" fontId="13" fillId="3" borderId="7" xfId="0" applyFont="1" applyFill="1" applyBorder="1" applyAlignment="1">
      <alignment/>
    </xf>
    <xf numFmtId="0" fontId="13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165" fontId="0" fillId="5" borderId="12" xfId="0" applyNumberFormat="1" applyFill="1" applyBorder="1" applyAlignment="1">
      <alignment/>
    </xf>
    <xf numFmtId="180" fontId="7" fillId="5" borderId="13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right"/>
    </xf>
    <xf numFmtId="180" fontId="7" fillId="5" borderId="14" xfId="0" applyNumberFormat="1" applyFont="1" applyFill="1" applyBorder="1" applyAlignment="1">
      <alignment horizontal="center"/>
    </xf>
    <xf numFmtId="180" fontId="7" fillId="5" borderId="15" xfId="0" applyNumberFormat="1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4" fillId="3" borderId="0" xfId="0" applyFont="1" applyFill="1" applyAlignment="1">
      <alignment/>
    </xf>
    <xf numFmtId="165" fontId="10" fillId="3" borderId="0" xfId="0" applyNumberFormat="1" applyFont="1" applyFill="1" applyAlignment="1">
      <alignment/>
    </xf>
    <xf numFmtId="0" fontId="0" fillId="3" borderId="0" xfId="0" applyFon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77" fontId="0" fillId="3" borderId="11" xfId="0" applyNumberFormat="1" applyFill="1" applyBorder="1" applyAlignment="1">
      <alignment/>
    </xf>
    <xf numFmtId="1" fontId="0" fillId="3" borderId="11" xfId="0" applyNumberFormat="1" applyFill="1" applyBorder="1" applyAlignment="1">
      <alignment horizontal="center"/>
    </xf>
    <xf numFmtId="0" fontId="8" fillId="3" borderId="11" xfId="0" applyFont="1" applyFill="1" applyBorder="1" applyAlignment="1">
      <alignment/>
    </xf>
    <xf numFmtId="165" fontId="0" fillId="3" borderId="11" xfId="0" applyNumberFormat="1" applyFill="1" applyBorder="1" applyAlignment="1">
      <alignment/>
    </xf>
    <xf numFmtId="165" fontId="1" fillId="5" borderId="0" xfId="0" applyNumberFormat="1" applyFont="1" applyFill="1" applyBorder="1" applyAlignment="1">
      <alignment/>
    </xf>
    <xf numFmtId="165" fontId="1" fillId="5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25" fillId="3" borderId="0" xfId="0" applyFont="1" applyFill="1" applyAlignment="1">
      <alignment/>
    </xf>
    <xf numFmtId="0" fontId="0" fillId="3" borderId="0" xfId="0" applyFill="1" applyAlignment="1" quotePrefix="1">
      <alignment/>
    </xf>
    <xf numFmtId="180" fontId="0" fillId="3" borderId="0" xfId="0" applyNumberFormat="1" applyFill="1" applyAlignment="1">
      <alignment/>
    </xf>
    <xf numFmtId="2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right"/>
    </xf>
    <xf numFmtId="177" fontId="10" fillId="3" borderId="0" xfId="0" applyNumberFormat="1" applyFont="1" applyFill="1" applyAlignment="1">
      <alignment/>
    </xf>
    <xf numFmtId="9" fontId="0" fillId="5" borderId="0" xfId="0" applyNumberFormat="1" applyFill="1" applyAlignment="1">
      <alignment/>
    </xf>
    <xf numFmtId="0" fontId="3" fillId="3" borderId="0" xfId="0" applyFont="1" applyFill="1" applyBorder="1" applyAlignment="1">
      <alignment horizontal="center"/>
    </xf>
    <xf numFmtId="182" fontId="0" fillId="3" borderId="0" xfId="0" applyNumberFormat="1" applyFill="1" applyAlignment="1">
      <alignment/>
    </xf>
    <xf numFmtId="0" fontId="3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182" fontId="0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/>
    </xf>
    <xf numFmtId="2" fontId="17" fillId="3" borderId="0" xfId="0" applyNumberFormat="1" applyFont="1" applyFill="1" applyBorder="1" applyAlignment="1">
      <alignment/>
    </xf>
    <xf numFmtId="170" fontId="16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165" fontId="0" fillId="5" borderId="0" xfId="0" applyNumberFormat="1" applyFont="1" applyFill="1" applyAlignment="1">
      <alignment/>
    </xf>
    <xf numFmtId="165" fontId="0" fillId="5" borderId="7" xfId="0" applyNumberFormat="1" applyFont="1" applyFill="1" applyBorder="1" applyAlignment="1">
      <alignment/>
    </xf>
    <xf numFmtId="0" fontId="0" fillId="5" borderId="0" xfId="0" applyFill="1" applyAlignment="1">
      <alignment/>
    </xf>
    <xf numFmtId="167" fontId="0" fillId="5" borderId="0" xfId="0" applyNumberFormat="1" applyFill="1" applyAlignment="1">
      <alignment/>
    </xf>
    <xf numFmtId="0" fontId="20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/>
    </xf>
    <xf numFmtId="0" fontId="18" fillId="3" borderId="0" xfId="0" applyFont="1" applyFill="1" applyBorder="1" applyAlignment="1">
      <alignment horizontal="center"/>
    </xf>
    <xf numFmtId="178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178" fontId="18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 horizontal="left"/>
    </xf>
    <xf numFmtId="1" fontId="0" fillId="3" borderId="0" xfId="0" applyNumberFormat="1" applyFill="1" applyBorder="1" applyAlignment="1">
      <alignment/>
    </xf>
    <xf numFmtId="0" fontId="26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81" fontId="0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/>
    </xf>
    <xf numFmtId="3" fontId="16" fillId="3" borderId="0" xfId="0" applyNumberFormat="1" applyFont="1" applyFill="1" applyBorder="1" applyAlignment="1">
      <alignment horizontal="center"/>
    </xf>
    <xf numFmtId="170" fontId="0" fillId="3" borderId="0" xfId="0" applyNumberFormat="1" applyFont="1" applyFill="1" applyBorder="1" applyAlignment="1">
      <alignment horizontal="center"/>
    </xf>
    <xf numFmtId="180" fontId="15" fillId="3" borderId="0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20" fillId="3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/>
    </xf>
    <xf numFmtId="2" fontId="14" fillId="6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/>
    </xf>
    <xf numFmtId="167" fontId="0" fillId="5" borderId="0" xfId="0" applyNumberFormat="1" applyFont="1" applyFill="1" applyAlignment="1">
      <alignment/>
    </xf>
    <xf numFmtId="167" fontId="0" fillId="5" borderId="7" xfId="0" applyNumberFormat="1" applyFill="1" applyBorder="1" applyAlignment="1">
      <alignment/>
    </xf>
    <xf numFmtId="167" fontId="0" fillId="5" borderId="7" xfId="0" applyNumberFormat="1" applyFont="1" applyFill="1" applyBorder="1" applyAlignment="1">
      <alignment/>
    </xf>
    <xf numFmtId="164" fontId="1" fillId="5" borderId="11" xfId="0" applyNumberFormat="1" applyFont="1" applyFill="1" applyBorder="1" applyAlignment="1">
      <alignment horizontal="right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4" fillId="4" borderId="0" xfId="0" applyFont="1" applyFill="1" applyBorder="1" applyAlignment="1">
      <alignment/>
    </xf>
    <xf numFmtId="2" fontId="14" fillId="4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2" fontId="14" fillId="4" borderId="7" xfId="0" applyNumberFormat="1" applyFont="1" applyFill="1" applyBorder="1" applyAlignment="1">
      <alignment horizontal="center"/>
    </xf>
    <xf numFmtId="0" fontId="14" fillId="3" borderId="11" xfId="0" applyFont="1" applyFill="1" applyBorder="1" applyAlignment="1">
      <alignment/>
    </xf>
    <xf numFmtId="2" fontId="14" fillId="3" borderId="11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65" fontId="11" fillId="5" borderId="18" xfId="0" applyNumberFormat="1" applyFont="1" applyFill="1" applyBorder="1" applyAlignment="1">
      <alignment/>
    </xf>
    <xf numFmtId="165" fontId="0" fillId="5" borderId="18" xfId="0" applyNumberFormat="1" applyFill="1" applyBorder="1" applyAlignment="1">
      <alignment/>
    </xf>
    <xf numFmtId="0" fontId="12" fillId="3" borderId="0" xfId="0" applyFont="1" applyFill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5" fillId="3" borderId="0" xfId="20" applyFill="1" applyBorder="1" applyAlignment="1">
      <alignment horizontal="left"/>
    </xf>
    <xf numFmtId="165" fontId="25" fillId="3" borderId="0" xfId="0" applyNumberFormat="1" applyFont="1" applyFill="1" applyBorder="1" applyAlignment="1">
      <alignment/>
    </xf>
    <xf numFmtId="6" fontId="0" fillId="3" borderId="3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0" fontId="5" fillId="3" borderId="0" xfId="20" applyFill="1" applyAlignment="1">
      <alignment/>
    </xf>
    <xf numFmtId="8" fontId="0" fillId="3" borderId="0" xfId="0" applyNumberFormat="1" applyFill="1" applyAlignment="1">
      <alignment/>
    </xf>
    <xf numFmtId="0" fontId="7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165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Border="1" applyAlignment="1">
      <alignment/>
    </xf>
    <xf numFmtId="165" fontId="10" fillId="3" borderId="0" xfId="0" applyNumberFormat="1" applyFont="1" applyFill="1" applyAlignment="1">
      <alignment/>
    </xf>
    <xf numFmtId="167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164" fontId="10" fillId="3" borderId="0" xfId="0" applyNumberFormat="1" applyFont="1" applyFill="1" applyAlignment="1">
      <alignment/>
    </xf>
    <xf numFmtId="166" fontId="0" fillId="3" borderId="0" xfId="0" applyNumberFormat="1" applyFill="1" applyAlignment="1">
      <alignment/>
    </xf>
    <xf numFmtId="178" fontId="0" fillId="3" borderId="0" xfId="0" applyNumberFormat="1" applyFill="1" applyAlignment="1">
      <alignment/>
    </xf>
    <xf numFmtId="178" fontId="0" fillId="3" borderId="11" xfId="0" applyNumberFormat="1" applyFill="1" applyBorder="1" applyAlignment="1">
      <alignment/>
    </xf>
    <xf numFmtId="164" fontId="0" fillId="3" borderId="0" xfId="0" applyNumberFormat="1" applyFill="1" applyAlignment="1">
      <alignment/>
    </xf>
    <xf numFmtId="0" fontId="30" fillId="3" borderId="0" xfId="0" applyFont="1" applyFill="1" applyBorder="1" applyAlignment="1">
      <alignment horizontal="left"/>
    </xf>
    <xf numFmtId="0" fontId="11" fillId="3" borderId="0" xfId="0" applyFont="1" applyFill="1" applyAlignment="1">
      <alignment/>
    </xf>
    <xf numFmtId="180" fontId="10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9" fontId="0" fillId="3" borderId="0" xfId="0" applyNumberFormat="1" applyFill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14" fillId="8" borderId="0" xfId="0" applyFont="1" applyFill="1" applyBorder="1" applyAlignment="1">
      <alignment/>
    </xf>
    <xf numFmtId="2" fontId="14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183" fontId="0" fillId="5" borderId="0" xfId="0" applyNumberFormat="1" applyFill="1" applyAlignment="1">
      <alignment/>
    </xf>
    <xf numFmtId="183" fontId="0" fillId="0" borderId="0" xfId="0" applyNumberFormat="1" applyAlignment="1">
      <alignment/>
    </xf>
    <xf numFmtId="0" fontId="25" fillId="3" borderId="0" xfId="0" applyFont="1" applyFill="1" applyAlignment="1">
      <alignment horizontal="center"/>
    </xf>
    <xf numFmtId="0" fontId="25" fillId="3" borderId="0" xfId="0" applyFont="1" applyFill="1" applyBorder="1" applyAlignment="1">
      <alignment horizontal="center"/>
    </xf>
    <xf numFmtId="164" fontId="0" fillId="4" borderId="3" xfId="0" applyNumberFormat="1" applyFill="1" applyBorder="1" applyAlignment="1">
      <alignment/>
    </xf>
    <xf numFmtId="180" fontId="0" fillId="5" borderId="17" xfId="0" applyNumberFormat="1" applyFill="1" applyBorder="1" applyAlignment="1">
      <alignment/>
    </xf>
    <xf numFmtId="0" fontId="0" fillId="3" borderId="0" xfId="0" applyFill="1" applyBorder="1" applyAlignment="1" quotePrefix="1">
      <alignment/>
    </xf>
    <xf numFmtId="180" fontId="0" fillId="3" borderId="0" xfId="0" applyNumberFormat="1" applyFill="1" applyBorder="1" applyAlignment="1">
      <alignment/>
    </xf>
    <xf numFmtId="0" fontId="25" fillId="3" borderId="0" xfId="0" applyFont="1" applyFill="1" applyBorder="1" applyAlignment="1">
      <alignment/>
    </xf>
    <xf numFmtId="180" fontId="0" fillId="4" borderId="3" xfId="0" applyNumberFormat="1" applyFill="1" applyBorder="1" applyAlignment="1">
      <alignment/>
    </xf>
    <xf numFmtId="164" fontId="0" fillId="4" borderId="3" xfId="0" applyNumberFormat="1" applyFont="1" applyFill="1" applyBorder="1" applyAlignment="1">
      <alignment/>
    </xf>
    <xf numFmtId="0" fontId="1" fillId="3" borderId="0" xfId="0" applyFont="1" applyFill="1" applyAlignment="1">
      <alignment horizontal="left"/>
    </xf>
    <xf numFmtId="9" fontId="0" fillId="8" borderId="0" xfId="0" applyNumberFormat="1" applyFill="1" applyAlignment="1">
      <alignment/>
    </xf>
    <xf numFmtId="0" fontId="10" fillId="0" borderId="0" xfId="0" applyFont="1" applyFill="1" applyAlignment="1">
      <alignment/>
    </xf>
    <xf numFmtId="9" fontId="0" fillId="9" borderId="16" xfId="0" applyNumberFormat="1" applyFill="1" applyBorder="1" applyAlignment="1">
      <alignment/>
    </xf>
    <xf numFmtId="9" fontId="0" fillId="6" borderId="0" xfId="0" applyNumberFormat="1" applyFill="1" applyAlignment="1">
      <alignment/>
    </xf>
    <xf numFmtId="10" fontId="0" fillId="5" borderId="0" xfId="0" applyNumberFormat="1" applyFill="1" applyAlignment="1">
      <alignment/>
    </xf>
    <xf numFmtId="165" fontId="0" fillId="4" borderId="13" xfId="0" applyNumberFormat="1" applyFont="1" applyFill="1" applyBorder="1" applyAlignment="1">
      <alignment/>
    </xf>
    <xf numFmtId="165" fontId="0" fillId="4" borderId="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5" fontId="0" fillId="3" borderId="19" xfId="0" applyNumberFormat="1" applyFont="1" applyFill="1" applyBorder="1" applyAlignment="1">
      <alignment/>
    </xf>
    <xf numFmtId="165" fontId="0" fillId="3" borderId="11" xfId="0" applyNumberFormat="1" applyFont="1" applyFill="1" applyBorder="1" applyAlignment="1">
      <alignment/>
    </xf>
    <xf numFmtId="165" fontId="0" fillId="0" borderId="20" xfId="0" applyNumberFormat="1" applyBorder="1" applyAlignment="1">
      <alignment/>
    </xf>
    <xf numFmtId="165" fontId="1" fillId="3" borderId="0" xfId="0" applyNumberFormat="1" applyFont="1" applyFill="1" applyAlignment="1">
      <alignment/>
    </xf>
    <xf numFmtId="0" fontId="31" fillId="3" borderId="0" xfId="0" applyFont="1" applyFill="1" applyAlignment="1">
      <alignment horizontal="center"/>
    </xf>
    <xf numFmtId="165" fontId="8" fillId="3" borderId="0" xfId="0" applyNumberFormat="1" applyFont="1" applyFill="1" applyBorder="1" applyAlignment="1">
      <alignment/>
    </xf>
    <xf numFmtId="0" fontId="3" fillId="3" borderId="0" xfId="0" applyFont="1" applyFill="1" applyAlignment="1">
      <alignment horizontal="right"/>
    </xf>
    <xf numFmtId="164" fontId="1" fillId="3" borderId="11" xfId="0" applyNumberFormat="1" applyFont="1" applyFill="1" applyBorder="1" applyAlignment="1">
      <alignment horizontal="right"/>
    </xf>
    <xf numFmtId="0" fontId="8" fillId="3" borderId="0" xfId="0" applyFont="1" applyFill="1" applyAlignment="1">
      <alignment/>
    </xf>
    <xf numFmtId="0" fontId="1" fillId="3" borderId="11" xfId="0" applyFont="1" applyFill="1" applyBorder="1" applyAlignment="1">
      <alignment/>
    </xf>
    <xf numFmtId="165" fontId="0" fillId="5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65" fontId="0" fillId="5" borderId="0" xfId="0" applyNumberFormat="1" applyFont="1" applyFill="1" applyBorder="1" applyAlignment="1">
      <alignment/>
    </xf>
    <xf numFmtId="180" fontId="0" fillId="5" borderId="0" xfId="0" applyNumberFormat="1" applyFill="1" applyBorder="1" applyAlignment="1">
      <alignment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2" fillId="3" borderId="0" xfId="0" applyFont="1" applyFill="1" applyAlignment="1">
      <alignment/>
    </xf>
    <xf numFmtId="10" fontId="0" fillId="5" borderId="4" xfId="0" applyNumberFormat="1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/>
    </xf>
    <xf numFmtId="0" fontId="1" fillId="9" borderId="0" xfId="0" applyFont="1" applyFill="1" applyAlignment="1">
      <alignment horizontal="left"/>
    </xf>
    <xf numFmtId="0" fontId="1" fillId="9" borderId="0" xfId="0" applyFont="1" applyFill="1" applyAlignment="1">
      <alignment/>
    </xf>
    <xf numFmtId="183" fontId="0" fillId="3" borderId="0" xfId="0" applyNumberFormat="1" applyFill="1" applyAlignment="1">
      <alignment/>
    </xf>
    <xf numFmtId="0" fontId="0" fillId="11" borderId="0" xfId="0" applyFill="1" applyAlignment="1">
      <alignment/>
    </xf>
    <xf numFmtId="1" fontId="1" fillId="5" borderId="3" xfId="0" applyNumberFormat="1" applyFont="1" applyFill="1" applyBorder="1" applyAlignment="1">
      <alignment horizontal="center"/>
    </xf>
    <xf numFmtId="165" fontId="1" fillId="12" borderId="0" xfId="0" applyNumberFormat="1" applyFont="1" applyFill="1" applyAlignment="1">
      <alignment/>
    </xf>
    <xf numFmtId="165" fontId="47" fillId="13" borderId="0" xfId="0" applyNumberFormat="1" applyFont="1" applyFill="1" applyAlignment="1">
      <alignment/>
    </xf>
    <xf numFmtId="165" fontId="1" fillId="14" borderId="0" xfId="0" applyNumberFormat="1" applyFont="1" applyFill="1" applyAlignment="1">
      <alignment/>
    </xf>
    <xf numFmtId="164" fontId="0" fillId="5" borderId="3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5" borderId="0" xfId="0" applyNumberFormat="1" applyFill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9" fontId="14" fillId="4" borderId="3" xfId="0" applyNumberFormat="1" applyFont="1" applyFill="1" applyBorder="1" applyAlignment="1">
      <alignment/>
    </xf>
    <xf numFmtId="9" fontId="14" fillId="4" borderId="21" xfId="0" applyNumberFormat="1" applyFont="1" applyFill="1" applyBorder="1" applyAlignment="1">
      <alignment/>
    </xf>
    <xf numFmtId="165" fontId="0" fillId="3" borderId="0" xfId="0" applyNumberFormat="1" applyFont="1" applyFill="1" applyAlignment="1">
      <alignment horizontal="right"/>
    </xf>
    <xf numFmtId="3" fontId="0" fillId="3" borderId="0" xfId="0" applyNumberFormat="1" applyFill="1" applyBorder="1" applyAlignment="1">
      <alignment/>
    </xf>
    <xf numFmtId="0" fontId="25" fillId="3" borderId="0" xfId="0" applyFont="1" applyFill="1" applyAlignment="1">
      <alignment horizontal="left"/>
    </xf>
    <xf numFmtId="0" fontId="0" fillId="3" borderId="22" xfId="0" applyFill="1" applyBorder="1" applyAlignment="1">
      <alignment horizontal="left"/>
    </xf>
    <xf numFmtId="0" fontId="0" fillId="10" borderId="0" xfId="0" applyFill="1" applyBorder="1" applyAlignment="1">
      <alignment/>
    </xf>
    <xf numFmtId="0" fontId="8" fillId="3" borderId="22" xfId="0" applyFont="1" applyFill="1" applyBorder="1" applyAlignment="1">
      <alignment horizontal="left"/>
    </xf>
    <xf numFmtId="0" fontId="0" fillId="3" borderId="7" xfId="0" applyFont="1" applyFill="1" applyBorder="1" applyAlignment="1">
      <alignment/>
    </xf>
    <xf numFmtId="0" fontId="13" fillId="3" borderId="0" xfId="0" applyFont="1" applyFill="1" applyAlignment="1">
      <alignment/>
    </xf>
    <xf numFmtId="0" fontId="1" fillId="3" borderId="0" xfId="0" applyFont="1" applyFill="1" applyAlignment="1">
      <alignment wrapText="1"/>
    </xf>
    <xf numFmtId="0" fontId="50" fillId="3" borderId="7" xfId="0" applyFont="1" applyFill="1" applyBorder="1" applyAlignment="1">
      <alignment horizontal="center"/>
    </xf>
    <xf numFmtId="0" fontId="50" fillId="3" borderId="7" xfId="0" applyFont="1" applyFill="1" applyBorder="1" applyAlignment="1">
      <alignment horizontal="center" wrapText="1"/>
    </xf>
    <xf numFmtId="0" fontId="50" fillId="3" borderId="7" xfId="0" applyFont="1" applyFill="1" applyBorder="1" applyAlignment="1">
      <alignment/>
    </xf>
    <xf numFmtId="0" fontId="1" fillId="3" borderId="0" xfId="0" applyFont="1" applyFill="1" applyBorder="1" applyAlignment="1">
      <alignment wrapText="1"/>
    </xf>
    <xf numFmtId="3" fontId="50" fillId="3" borderId="7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165" fontId="50" fillId="3" borderId="7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165" fontId="50" fillId="3" borderId="0" xfId="0" applyNumberFormat="1" applyFont="1" applyFill="1" applyAlignment="1">
      <alignment/>
    </xf>
    <xf numFmtId="164" fontId="0" fillId="3" borderId="0" xfId="0" applyNumberFormat="1" applyFont="1" applyFill="1" applyBorder="1" applyAlignment="1">
      <alignment/>
    </xf>
    <xf numFmtId="0" fontId="13" fillId="3" borderId="0" xfId="0" applyFont="1" applyFill="1" applyBorder="1" applyAlignment="1">
      <alignment/>
    </xf>
    <xf numFmtId="165" fontId="1" fillId="15" borderId="0" xfId="0" applyNumberFormat="1" applyFont="1" applyFill="1" applyAlignment="1">
      <alignment/>
    </xf>
    <xf numFmtId="180" fontId="20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/>
    </xf>
    <xf numFmtId="165" fontId="0" fillId="3" borderId="0" xfId="0" applyNumberFormat="1" applyFont="1" applyFill="1" applyBorder="1" applyAlignment="1">
      <alignment horizontal="right"/>
    </xf>
    <xf numFmtId="165" fontId="0" fillId="8" borderId="0" xfId="0" applyNumberFormat="1" applyFont="1" applyFill="1" applyAlignment="1">
      <alignment/>
    </xf>
    <xf numFmtId="165" fontId="0" fillId="16" borderId="23" xfId="0" applyNumberFormat="1" applyFill="1" applyBorder="1" applyAlignment="1">
      <alignment/>
    </xf>
    <xf numFmtId="165" fontId="9" fillId="17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/>
    </xf>
    <xf numFmtId="0" fontId="0" fillId="11" borderId="4" xfId="0" applyFont="1" applyFill="1" applyBorder="1" applyAlignment="1">
      <alignment horizontal="left"/>
    </xf>
    <xf numFmtId="0" fontId="0" fillId="11" borderId="0" xfId="0" applyFont="1" applyFill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2" fontId="48" fillId="5" borderId="4" xfId="0" applyNumberFormat="1" applyFont="1" applyFill="1" applyBorder="1" applyAlignment="1">
      <alignment horizontal="left"/>
    </xf>
    <xf numFmtId="2" fontId="48" fillId="5" borderId="0" xfId="0" applyNumberFormat="1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1" fillId="3" borderId="24" xfId="0" applyFont="1" applyFill="1" applyBorder="1" applyAlignment="1">
      <alignment/>
    </xf>
    <xf numFmtId="0" fontId="1" fillId="3" borderId="0" xfId="0" applyFont="1" applyFill="1" applyAlignment="1">
      <alignment horizontal="left" wrapText="1"/>
    </xf>
    <xf numFmtId="0" fontId="1" fillId="3" borderId="7" xfId="0" applyFont="1" applyFill="1" applyBorder="1" applyAlignment="1">
      <alignment horizontal="left"/>
    </xf>
    <xf numFmtId="2" fontId="53" fillId="5" borderId="4" xfId="0" applyNumberFormat="1" applyFont="1" applyFill="1" applyBorder="1" applyAlignment="1">
      <alignment horizontal="left"/>
    </xf>
    <xf numFmtId="2" fontId="53" fillId="5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52" fillId="0" borderId="0" xfId="0" applyFont="1" applyAlignment="1">
      <alignment horizontal="left" wrapText="1"/>
    </xf>
    <xf numFmtId="165" fontId="50" fillId="3" borderId="0" xfId="0" applyNumberFormat="1" applyFont="1" applyFill="1" applyBorder="1" applyAlignment="1">
      <alignment horizontal="center"/>
    </xf>
    <xf numFmtId="165" fontId="50" fillId="3" borderId="7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16" fillId="0" borderId="18" xfId="0" applyFont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50" fillId="3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Two Perspectives of Direct and Indirect Costs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1JakesDeath!$B$30</c:f>
              <c:strCache>
                <c:ptCount val="1"/>
                <c:pt idx="0">
                  <c:v>Direct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1JakesDeath!$C$29:$D$29</c:f>
              <c:strCache>
                <c:ptCount val="2"/>
                <c:pt idx="0">
                  <c:v>Jake's Estate</c:v>
                </c:pt>
                <c:pt idx="1">
                  <c:v>Social</c:v>
                </c:pt>
              </c:strCache>
            </c:strRef>
          </c:cat>
          <c:val>
            <c:numRef>
              <c:f>1JakesDeath!$C$30:$D$30</c:f>
              <c:numCache>
                <c:ptCount val="2"/>
                <c:pt idx="0">
                  <c:v>16500</c:v>
                </c:pt>
                <c:pt idx="1">
                  <c:v>22250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1JakesDeath!$B$31</c:f>
              <c:strCache>
                <c:ptCount val="1"/>
                <c:pt idx="0">
                  <c:v>Indirect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1JakesDeath!$C$29:$D$29</c:f>
              <c:strCache>
                <c:ptCount val="2"/>
                <c:pt idx="0">
                  <c:v>Jake's Estate</c:v>
                </c:pt>
                <c:pt idx="1">
                  <c:v>Social</c:v>
                </c:pt>
              </c:strCache>
            </c:strRef>
          </c:cat>
          <c:val>
            <c:numRef>
              <c:f>1JakesDeath!$C$31:$D$31</c:f>
              <c:numCache>
                <c:ptCount val="2"/>
                <c:pt idx="0">
                  <c:v>948300</c:v>
                </c:pt>
                <c:pt idx="1">
                  <c:v>948300</c:v>
                </c:pt>
              </c:numCache>
            </c:numRef>
          </c:val>
          <c:shape val="cone"/>
        </c:ser>
        <c:shape val="cone"/>
        <c:axId val="9079978"/>
        <c:axId val="14610939"/>
      </c:bar3D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799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Injuries Potentially Averted by Installing Turn-Signals per 100,000 Automobile Drivers and Occupants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9InjuriesAverted!$C$16</c:f>
              <c:strCache>
                <c:ptCount val="1"/>
                <c:pt idx="0">
                  <c:v>Automobile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9InjuriesAverted!$B$17:$B$20</c:f>
              <c:strCache>
                <c:ptCount val="4"/>
                <c:pt idx="0">
                  <c:v>deaths</c:v>
                </c:pt>
                <c:pt idx="1">
                  <c:v>critical</c:v>
                </c:pt>
                <c:pt idx="2">
                  <c:v>serious</c:v>
                </c:pt>
                <c:pt idx="3">
                  <c:v>minor</c:v>
                </c:pt>
              </c:strCache>
            </c:strRef>
          </c:cat>
          <c:val>
            <c:numRef>
              <c:f>9InjuriesAverted!$C$17:$C$20</c:f>
              <c:numCache>
                <c:ptCount val="4"/>
                <c:pt idx="0">
                  <c:v>132.26637758505672</c:v>
                </c:pt>
                <c:pt idx="1">
                  <c:v>434.8008672448299</c:v>
                </c:pt>
                <c:pt idx="2">
                  <c:v>1064.464643095397</c:v>
                </c:pt>
                <c:pt idx="3">
                  <c:v>1701.2017344896597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Injuries Potentially Averted by Installing Turn Signals per 100,000 Drivers per Year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DecisionTree!$P$15</c:f>
              <c:strCache>
                <c:ptCount val="1"/>
                <c:pt idx="0">
                  <c:v>In juries Averted</c:v>
                </c:pt>
              </c:strCache>
            </c:strRef>
          </c:tx>
          <c:spPr>
            <a:solidFill>
              <a:srgbClr val="FF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DecisionTree!$O$16:$O$19</c:f>
              <c:strCache/>
            </c:strRef>
          </c:cat>
          <c:val>
            <c:numRef>
              <c:f>DecisionTree!$P$16:$P$19</c:f>
              <c:numCache>
                <c:ptCount val="4"/>
                <c:pt idx="0">
                  <c:v>377.90393595730495</c:v>
                </c:pt>
                <c:pt idx="1">
                  <c:v>1242.2881921280855</c:v>
                </c:pt>
                <c:pt idx="2">
                  <c:v>3041.3275517011343</c:v>
                </c:pt>
                <c:pt idx="3">
                  <c:v>4860.576384256171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Costs Associated with Injury Severity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'10CostSchedule'!$C$27</c:f>
              <c:strCache>
                <c:ptCount val="1"/>
                <c:pt idx="0">
                  <c:v>Costs Associated with Injury Severity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'10CostSchedule'!$B$28:$B$31</c:f>
              <c:strCache>
                <c:ptCount val="4"/>
                <c:pt idx="0">
                  <c:v>Death</c:v>
                </c:pt>
                <c:pt idx="1">
                  <c:v>Critical</c:v>
                </c:pt>
                <c:pt idx="2">
                  <c:v>Serious</c:v>
                </c:pt>
                <c:pt idx="3">
                  <c:v>Minor</c:v>
                </c:pt>
              </c:strCache>
            </c:strRef>
          </c:cat>
          <c:val>
            <c:numRef>
              <c:f>'10CostSchedule'!$C$28:$C$31</c:f>
              <c:numCache>
                <c:ptCount val="4"/>
                <c:pt idx="0">
                  <c:v>3366388</c:v>
                </c:pt>
                <c:pt idx="1">
                  <c:v>2402997</c:v>
                </c:pt>
                <c:pt idx="2">
                  <c:v>314204</c:v>
                </c:pt>
                <c:pt idx="3">
                  <c:v>15017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Death Cost With and Without Inflation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'11Inflation'!$B$26</c:f>
              <c:strCache>
                <c:ptCount val="1"/>
                <c:pt idx="0">
                  <c:v>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'11Inflation'!$A$27:$A$27</c:f>
              <c:strCache>
                <c:ptCount val="1"/>
                <c:pt idx="0">
                  <c:v>Death</c:v>
                </c:pt>
              </c:strCache>
            </c:strRef>
          </c:cat>
          <c:val>
            <c:numRef>
              <c:f>'11Inflation'!$B$27:$B$27</c:f>
              <c:numCache>
                <c:ptCount val="1"/>
                <c:pt idx="0">
                  <c:v>3366388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'11Inflation'!$C$26</c:f>
              <c:strCache>
                <c:ptCount val="1"/>
                <c:pt idx="0">
                  <c:v>With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solidFill>
                          <a:srgbClr val="FFFF00"/>
                        </a:solidFill>
                        <a:latin typeface="Arial"/>
                        <a:ea typeface="Arial"/>
                        <a:cs typeface="Arial"/>
                      </a:rPr>
                      <a:t>With
Inflation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'11Inflation'!$A$27:$A$27</c:f>
              <c:strCache>
                <c:ptCount val="1"/>
                <c:pt idx="0">
                  <c:v>Death</c:v>
                </c:pt>
              </c:strCache>
            </c:strRef>
          </c:cat>
          <c:val>
            <c:numRef>
              <c:f>'11Inflation'!$C$27:$C$27</c:f>
              <c:numCache>
                <c:ptCount val="1"/>
                <c:pt idx="0">
                  <c:v>3819840.4636000004</c:v>
                </c:pt>
              </c:numCache>
            </c:numRef>
          </c:val>
          <c:shape val="cylinder"/>
        </c:ser>
        <c:shape val="cylinder"/>
        <c:axId val="22501539"/>
        <c:axId val="1187260"/>
      </c:bar3D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7260"/>
        <c:crosses val="autoZero"/>
        <c:auto val="1"/>
        <c:lblOffset val="100"/>
        <c:noMultiLvlLbl val="0"/>
      </c:catAx>
      <c:valAx>
        <c:axId val="1187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15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Injuries Averted Compared with Their Potential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'12CostEffectiveness'!$A$32</c:f>
              <c:strCache>
                <c:ptCount val="1"/>
                <c:pt idx="0">
                  <c:v>Death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'12CostEffectiveness'!$B$31:$G$31</c:f>
              <c:strCache>
                <c:ptCount val="2"/>
                <c:pt idx="0">
                  <c:v>Injuries</c:v>
                </c:pt>
                <c:pt idx="1">
                  <c:v>Costs</c:v>
                </c:pt>
              </c:strCache>
            </c:strRef>
          </c:cat>
          <c:val>
            <c:numRef>
              <c:f>'12CostEffectiveness'!$B$32:$G$32</c:f>
              <c:numCache>
                <c:ptCount val="2"/>
                <c:pt idx="0">
                  <c:v>0.1133711807871915</c:v>
                </c:pt>
                <c:pt idx="1">
                  <c:v>433059.82377702504</c:v>
                </c:pt>
              </c:numCache>
            </c:numRef>
          </c:val>
        </c:ser>
        <c:ser>
          <c:idx val="1"/>
          <c:order val="1"/>
          <c:tx>
            <c:strRef>
              <c:f>'12CostEffectiveness'!$A$33</c:f>
              <c:strCache>
                <c:ptCount val="1"/>
                <c:pt idx="0">
                  <c:v>Critical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'12CostEffectiveness'!$B$31:$G$31</c:f>
              <c:strCache>
                <c:ptCount val="2"/>
                <c:pt idx="0">
                  <c:v>Injuries</c:v>
                </c:pt>
                <c:pt idx="1">
                  <c:v>Costs</c:v>
                </c:pt>
              </c:strCache>
            </c:strRef>
          </c:cat>
          <c:val>
            <c:numRef>
              <c:f>'12CostEffectiveness'!$B$33:$G$33</c:f>
              <c:numCache>
                <c:ptCount val="2"/>
                <c:pt idx="0">
                  <c:v>0.37268645763842567</c:v>
                </c:pt>
                <c:pt idx="1">
                  <c:v>1016196.9696660484</c:v>
                </c:pt>
              </c:numCache>
            </c:numRef>
          </c:val>
        </c:ser>
        <c:ser>
          <c:idx val="2"/>
          <c:order val="2"/>
          <c:tx>
            <c:strRef>
              <c:f>'12CostEffectiveness'!$A$34</c:f>
              <c:strCache>
                <c:ptCount val="1"/>
                <c:pt idx="0">
                  <c:v>Serious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</c:spPr>
          </c:dPt>
          <c:dPt>
            <c:idx val="1"/>
            <c:invertIfNegative val="0"/>
            <c:spPr>
              <a:solidFill>
                <a:srgbClr val="CC99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'12CostEffectiveness'!$B$31:$G$31</c:f>
              <c:strCache>
                <c:ptCount val="2"/>
                <c:pt idx="0">
                  <c:v>Injuries</c:v>
                </c:pt>
                <c:pt idx="1">
                  <c:v>Costs</c:v>
                </c:pt>
              </c:strCache>
            </c:strRef>
          </c:cat>
          <c:val>
            <c:numRef>
              <c:f>'12CostEffectiveness'!$B$34:$G$34</c:f>
              <c:numCache>
                <c:ptCount val="2"/>
                <c:pt idx="0">
                  <c:v>0.9123982655103404</c:v>
                </c:pt>
                <c:pt idx="1">
                  <c:v>325294.8707842416</c:v>
                </c:pt>
              </c:numCache>
            </c:numRef>
          </c:val>
        </c:ser>
        <c:ser>
          <c:idx val="3"/>
          <c:order val="3"/>
          <c:tx>
            <c:strRef>
              <c:f>'12CostEffectiveness'!$A$35</c:f>
              <c:strCache>
                <c:ptCount val="1"/>
                <c:pt idx="0">
                  <c:v>Minor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'12CostEffectiveness'!$B$31:$G$31</c:f>
              <c:strCache>
                <c:ptCount val="2"/>
                <c:pt idx="0">
                  <c:v>Injuries</c:v>
                </c:pt>
                <c:pt idx="1">
                  <c:v>Costs</c:v>
                </c:pt>
              </c:strCache>
            </c:strRef>
          </c:cat>
          <c:val>
            <c:numRef>
              <c:f>'12CostEffectiveness'!$B$35:$G$35</c:f>
              <c:numCache>
                <c:ptCount val="2"/>
                <c:pt idx="0">
                  <c:v>1.4581729152768514</c:v>
                </c:pt>
                <c:pt idx="1">
                  <c:v>24846.96011418805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0685341"/>
        <c:axId val="29059206"/>
      </c:bar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Two Other Perspectives of Direct and Indirect Costs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45"/>
          <c:y val="0.2435"/>
          <c:w val="0.9645"/>
          <c:h val="0.64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2SamsDeath!$B$33</c:f>
              <c:strCache>
                <c:ptCount val="1"/>
                <c:pt idx="0">
                  <c:v>Direct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2SamsDeath!$C$32:$D$32</c:f>
              <c:strCache>
                <c:ptCount val="2"/>
                <c:pt idx="0">
                  <c:v>Sam's Estate</c:v>
                </c:pt>
                <c:pt idx="1">
                  <c:v>Social</c:v>
                </c:pt>
              </c:strCache>
            </c:strRef>
          </c:cat>
          <c:val>
            <c:numRef>
              <c:f>2SamsDeath!$C$33:$D$33</c:f>
              <c:numCache>
                <c:ptCount val="2"/>
                <c:pt idx="0">
                  <c:v>19200</c:v>
                </c:pt>
                <c:pt idx="1">
                  <c:v>23950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2SamsDeath!$B$34</c:f>
              <c:strCache>
                <c:ptCount val="1"/>
                <c:pt idx="0">
                  <c:v>Indirect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2SamsDeath!$C$32:$D$32</c:f>
              <c:strCache>
                <c:ptCount val="2"/>
                <c:pt idx="0">
                  <c:v>Sam's Estate</c:v>
                </c:pt>
                <c:pt idx="1">
                  <c:v>Social</c:v>
                </c:pt>
              </c:strCache>
            </c:strRef>
          </c:cat>
          <c:val>
            <c:numRef>
              <c:f>2SamsDeath!$C$34:$D$34</c:f>
              <c:numCache>
                <c:ptCount val="2"/>
                <c:pt idx="0">
                  <c:v>1855000</c:v>
                </c:pt>
                <c:pt idx="1">
                  <c:v>1912250</c:v>
                </c:pt>
              </c:numCache>
            </c:numRef>
          </c:val>
          <c:shape val="box"/>
        </c:ser>
        <c:shape val="box"/>
        <c:axId val="64389588"/>
        <c:axId val="42635381"/>
        <c:axId val="48174110"/>
      </c:bar3D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9588"/>
        <c:crossesAt val="1"/>
        <c:crossBetween val="between"/>
        <c:dispUnits/>
      </c:valAx>
      <c:serAx>
        <c:axId val="4817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3538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Insurance Benefits to Sam's Family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3Insurance!$C$20</c:f>
              <c:strCache>
                <c:ptCount val="1"/>
                <c:pt idx="0">
                  <c:v>Benefits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3Insurance!$B$21:$B$25</c:f>
              <c:strCache>
                <c:ptCount val="5"/>
                <c:pt idx="0">
                  <c:v>Auto</c:v>
                </c:pt>
                <c:pt idx="1">
                  <c:v>Health</c:v>
                </c:pt>
                <c:pt idx="2">
                  <c:v>Accidental Death</c:v>
                </c:pt>
                <c:pt idx="3">
                  <c:v>Life</c:v>
                </c:pt>
                <c:pt idx="4">
                  <c:v>Social Security</c:v>
                </c:pt>
              </c:strCache>
            </c:strRef>
          </c:cat>
          <c:val>
            <c:numRef>
              <c:f>3Insurance!$C$21:$C$25</c:f>
              <c:numCache>
                <c:ptCount val="5"/>
                <c:pt idx="0">
                  <c:v>25000</c:v>
                </c:pt>
                <c:pt idx="1">
                  <c:v>200000</c:v>
                </c:pt>
                <c:pt idx="2">
                  <c:v>100000</c:v>
                </c:pt>
                <c:pt idx="3">
                  <c:v>500000</c:v>
                </c:pt>
                <c:pt idx="4">
                  <c:v>52800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Distribution of Collision Costs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4SocialCost!$I$20:$L$20</c:f>
              <c:strCache>
                <c:ptCount val="4"/>
                <c:pt idx="0">
                  <c:v>Jake</c:v>
                </c:pt>
                <c:pt idx="1">
                  <c:v>Sam</c:v>
                </c:pt>
                <c:pt idx="2">
                  <c:v>Sam's employer</c:v>
                </c:pt>
                <c:pt idx="3">
                  <c:v>Others</c:v>
                </c:pt>
              </c:strCache>
            </c:strRef>
          </c:cat>
          <c:val>
            <c:numRef>
              <c:f>4SocialCost!$I$21:$L$21</c:f>
              <c:numCache>
                <c:ptCount val="4"/>
                <c:pt idx="0">
                  <c:v>983800</c:v>
                </c:pt>
                <c:pt idx="1">
                  <c:v>1868445</c:v>
                </c:pt>
                <c:pt idx="2">
                  <c:v>73045</c:v>
                </c:pt>
                <c:pt idx="3">
                  <c:v>888300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Risk Factor Contribution to Liability</a:t>
            </a:r>
          </a:p>
        </c:rich>
      </c:tx>
      <c:layout>
        <c:manualLayout>
          <c:xMode val="factor"/>
          <c:yMode val="factor"/>
          <c:x val="-0.191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35425"/>
          <c:w val="0.46525"/>
          <c:h val="0.39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5RiskFactors!$B$27:$B$30</c:f>
              <c:strCache>
                <c:ptCount val="4"/>
                <c:pt idx="0">
                  <c:v>No ROPS or seatbelt</c:v>
                </c:pt>
                <c:pt idx="1">
                  <c:v>No turn signals</c:v>
                </c:pt>
                <c:pt idx="2">
                  <c:v>No passing</c:v>
                </c:pt>
                <c:pt idx="3">
                  <c:v>Defensive driving class</c:v>
                </c:pt>
              </c:strCache>
            </c:strRef>
          </c:cat>
          <c:val>
            <c:numRef>
              <c:f>5RiskFactors!$C$27:$C$30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Interventions to Prevent Collision Deaths: 
Percentage Cost</a:t>
            </a:r>
          </a:p>
        </c:rich>
      </c:tx>
      <c:layout>
        <c:manualLayout>
          <c:xMode val="factor"/>
          <c:yMode val="factor"/>
          <c:x val="0.012"/>
          <c:y val="-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4675"/>
          <c:w val="0.4535"/>
          <c:h val="0.2495"/>
        </c:manualLayout>
      </c:layout>
      <c:pie3DChart>
        <c:varyColors val="1"/>
        <c:ser>
          <c:idx val="0"/>
          <c:order val="0"/>
          <c:tx>
            <c:strRef>
              <c:f>6InterventionCost!$D$24</c:f>
              <c:strCache>
                <c:ptCount val="1"/>
                <c:pt idx="0">
                  <c:v>Cost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6InterventionCost!$C$25:$C$27</c:f>
              <c:strCache>
                <c:ptCount val="3"/>
                <c:pt idx="0">
                  <c:v>no ROPS or seatbelt</c:v>
                </c:pt>
                <c:pt idx="1">
                  <c:v>no turn signals</c:v>
                </c:pt>
                <c:pt idx="2">
                  <c:v>defensive driving class</c:v>
                </c:pt>
              </c:strCache>
            </c:strRef>
          </c:cat>
          <c:val>
            <c:numRef>
              <c:f>6InterventionCost!$D$25:$D$27</c:f>
              <c:numCache>
                <c:ptCount val="3"/>
                <c:pt idx="0">
                  <c:v>800</c:v>
                </c:pt>
                <c:pt idx="1">
                  <c:v>200</c:v>
                </c:pt>
                <c:pt idx="2">
                  <c:v>10000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Basis for the Law Suit for Damages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7Damages!$A$4</c:f>
              <c:strCache>
                <c:ptCount val="1"/>
                <c:pt idx="0">
                  <c:v>Injury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7Damages!$B$3:$C$3</c:f>
              <c:strCache>
                <c:ptCount val="2"/>
                <c:pt idx="0">
                  <c:v>   Jake's Estate</c:v>
                </c:pt>
                <c:pt idx="1">
                  <c:v>   Sam's Estate</c:v>
                </c:pt>
              </c:strCache>
            </c:strRef>
          </c:cat>
          <c:val>
            <c:numRef>
              <c:f>7Damages!$B$4:$C$4</c:f>
              <c:numCache>
                <c:ptCount val="2"/>
                <c:pt idx="0">
                  <c:v>964800</c:v>
                </c:pt>
                <c:pt idx="1">
                  <c:v>2715055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7Damages!$A$5</c:f>
              <c:strCache>
                <c:ptCount val="1"/>
                <c:pt idx="0">
                  <c:v>Insurance Offset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Insurance Offset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7Damages!$B$3:$C$3</c:f>
              <c:strCache>
                <c:ptCount val="2"/>
                <c:pt idx="0">
                  <c:v>   Jake's Estate</c:v>
                </c:pt>
                <c:pt idx="1">
                  <c:v>   Sam's Estate</c:v>
                </c:pt>
              </c:strCache>
            </c:strRef>
          </c:cat>
          <c:val>
            <c:numRef>
              <c:f>7Damages!$B$5:$C$5</c:f>
              <c:numCache>
                <c:ptCount val="2"/>
                <c:pt idx="0">
                  <c:v>0</c:v>
                </c:pt>
                <c:pt idx="1">
                  <c:v>-840855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7Damages!$A$6</c:f>
              <c:strCache>
                <c:ptCount val="1"/>
                <c:pt idx="0">
                  <c:v>Pain &amp; Suffering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7Damages!$B$3:$C$3</c:f>
              <c:strCache>
                <c:ptCount val="2"/>
                <c:pt idx="0">
                  <c:v>   Jake's Estate</c:v>
                </c:pt>
                <c:pt idx="1">
                  <c:v>   Sam's Estate</c:v>
                </c:pt>
              </c:strCache>
            </c:strRef>
          </c:cat>
          <c:val>
            <c:numRef>
              <c:f>7Damages!$B$6:$C$6</c:f>
              <c:numCache>
                <c:ptCount val="2"/>
                <c:pt idx="0">
                  <c:v>3000000</c:v>
                </c:pt>
                <c:pt idx="1">
                  <c:v>3000000</c:v>
                </c:pt>
              </c:numCache>
            </c:numRef>
          </c:val>
          <c:shape val="box"/>
        </c:ser>
        <c:shape val="box"/>
        <c:axId val="30913807"/>
        <c:axId val="9788808"/>
      </c:bar3D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1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Injury Reduction per Crash Related to Turn Signals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8Probabilities!$C$34</c:f>
              <c:strCache>
                <c:ptCount val="1"/>
                <c:pt idx="0">
                  <c:v>Without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8Probabilities!$B$35:$B$38</c:f>
              <c:strCache>
                <c:ptCount val="4"/>
                <c:pt idx="0">
                  <c:v>Death</c:v>
                </c:pt>
                <c:pt idx="1">
                  <c:v>Critical injury</c:v>
                </c:pt>
                <c:pt idx="2">
                  <c:v>Serious injury</c:v>
                </c:pt>
                <c:pt idx="3">
                  <c:v>Minor injury</c:v>
                </c:pt>
              </c:strCache>
            </c:strRef>
          </c:cat>
          <c:val>
            <c:numRef>
              <c:f>8Probabilities!$C$35:$C$38</c:f>
              <c:numCache>
                <c:ptCount val="4"/>
                <c:pt idx="0">
                  <c:v>0.019086057371581058</c:v>
                </c:pt>
                <c:pt idx="1">
                  <c:v>0.06274182788525684</c:v>
                </c:pt>
                <c:pt idx="2">
                  <c:v>0.1536024016010674</c:v>
                </c:pt>
                <c:pt idx="3">
                  <c:v>0.24548365577051368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8Probabilities!$D$34</c:f>
              <c:strCache>
                <c:ptCount val="1"/>
                <c:pt idx="0">
                  <c:v>With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8Probabilities!$B$35:$B$38</c:f>
              <c:strCache>
                <c:ptCount val="4"/>
                <c:pt idx="0">
                  <c:v>Death</c:v>
                </c:pt>
                <c:pt idx="1">
                  <c:v>Critical injury</c:v>
                </c:pt>
                <c:pt idx="2">
                  <c:v>Serious injury</c:v>
                </c:pt>
                <c:pt idx="3">
                  <c:v>Minor injury</c:v>
                </c:pt>
              </c:strCache>
            </c:strRef>
          </c:cat>
          <c:val>
            <c:numRef>
              <c:f>8Probabilities!$D$35:$D$38</c:f>
              <c:numCache>
                <c:ptCount val="4"/>
                <c:pt idx="0">
                  <c:v>0.009543028685790529</c:v>
                </c:pt>
                <c:pt idx="1">
                  <c:v>0.03137091394262842</c:v>
                </c:pt>
                <c:pt idx="2">
                  <c:v>0.0768012008005337</c:v>
                </c:pt>
                <c:pt idx="3">
                  <c:v>0.12274182788525684</c:v>
                </c:pt>
              </c:numCache>
            </c:numRef>
          </c:val>
          <c:shape val="box"/>
        </c:ser>
        <c:shape val="box"/>
        <c:axId val="20990409"/>
        <c:axId val="54695954"/>
      </c:bar3DChart>
      <c:catAx>
        <c:axId val="2099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695954"/>
        <c:crosses val="autoZero"/>
        <c:auto val="1"/>
        <c:lblOffset val="100"/>
        <c:noMultiLvlLbl val="0"/>
      </c:catAx>
      <c:valAx>
        <c:axId val="5469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90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Injuries Potentially Averted by Installing Turn-Signals per 100,000 Farm-Vehicle Drivers</a:t>
            </a:r>
          </a:p>
        </c:rich>
      </c:tx>
      <c:layout>
        <c:manualLayout>
          <c:xMode val="factor"/>
          <c:yMode val="factor"/>
          <c:x val="-0.045"/>
          <c:y val="0.01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3265"/>
          <c:w val="0.6655"/>
          <c:h val="0.447"/>
        </c:manualLayout>
      </c:layout>
      <c:pie3DChart>
        <c:varyColors val="1"/>
        <c:ser>
          <c:idx val="0"/>
          <c:order val="0"/>
          <c:tx>
            <c:strRef>
              <c:f>9InjuriesAverted!$C$8</c:f>
              <c:strCache>
                <c:ptCount val="1"/>
                <c:pt idx="0">
                  <c:v>Farm-vehicle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9InjuriesAverted!$B$9:$B$12</c:f>
              <c:strCache>
                <c:ptCount val="4"/>
                <c:pt idx="0">
                  <c:v>deaths</c:v>
                </c:pt>
                <c:pt idx="1">
                  <c:v>critical injuries</c:v>
                </c:pt>
                <c:pt idx="2">
                  <c:v>serious injuries</c:v>
                </c:pt>
                <c:pt idx="3">
                  <c:v>minor injuries</c:v>
                </c:pt>
              </c:strCache>
            </c:strRef>
          </c:cat>
          <c:val>
            <c:numRef>
              <c:f>9InjuriesAverted!$C$9:$C$12</c:f>
              <c:numCache>
                <c:ptCount val="4"/>
                <c:pt idx="0">
                  <c:v>245.63755837224824</c:v>
                </c:pt>
                <c:pt idx="1">
                  <c:v>807.4873248832556</c:v>
                </c:pt>
                <c:pt idx="2">
                  <c:v>1976.8629086057374</c:v>
                </c:pt>
                <c:pt idx="3">
                  <c:v>3159.374649766511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88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Relationship Id="rId9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85725</xdr:rowOff>
    </xdr:from>
    <xdr:to>
      <xdr:col>6</xdr:col>
      <xdr:colOff>457200</xdr:colOff>
      <xdr:row>48</xdr:row>
      <xdr:rowOff>152400</xdr:rowOff>
    </xdr:to>
    <xdr:graphicFrame>
      <xdr:nvGraphicFramePr>
        <xdr:cNvPr id="1" name="Chart 2"/>
        <xdr:cNvGraphicFramePr/>
      </xdr:nvGraphicFramePr>
      <xdr:xfrm>
        <a:off x="0" y="4057650"/>
        <a:ext cx="5334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904875</xdr:colOff>
      <xdr:row>1</xdr:row>
      <xdr:rowOff>104775</xdr:rowOff>
    </xdr:from>
    <xdr:to>
      <xdr:col>20</xdr:col>
      <xdr:colOff>466725</xdr:colOff>
      <xdr:row>23</xdr:row>
      <xdr:rowOff>66675</xdr:rowOff>
    </xdr:to>
    <xdr:graphicFrame>
      <xdr:nvGraphicFramePr>
        <xdr:cNvPr id="1" name="Chart 19"/>
        <xdr:cNvGraphicFramePr/>
      </xdr:nvGraphicFramePr>
      <xdr:xfrm>
        <a:off x="5915025" y="295275"/>
        <a:ext cx="59340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66675</xdr:rowOff>
    </xdr:from>
    <xdr:to>
      <xdr:col>7</xdr:col>
      <xdr:colOff>381000</xdr:colOff>
      <xdr:row>40</xdr:row>
      <xdr:rowOff>76200</xdr:rowOff>
    </xdr:to>
    <xdr:graphicFrame>
      <xdr:nvGraphicFramePr>
        <xdr:cNvPr id="1" name="Chart 9"/>
        <xdr:cNvGraphicFramePr/>
      </xdr:nvGraphicFramePr>
      <xdr:xfrm>
        <a:off x="38100" y="2981325"/>
        <a:ext cx="5457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95250</xdr:rowOff>
    </xdr:from>
    <xdr:to>
      <xdr:col>8</xdr:col>
      <xdr:colOff>447675</xdr:colOff>
      <xdr:row>46</xdr:row>
      <xdr:rowOff>95250</xdr:rowOff>
    </xdr:to>
    <xdr:graphicFrame>
      <xdr:nvGraphicFramePr>
        <xdr:cNvPr id="1" name="Chart 5"/>
        <xdr:cNvGraphicFramePr/>
      </xdr:nvGraphicFramePr>
      <xdr:xfrm>
        <a:off x="19050" y="3543300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133350</xdr:rowOff>
    </xdr:from>
    <xdr:to>
      <xdr:col>12</xdr:col>
      <xdr:colOff>590550</xdr:colOff>
      <xdr:row>49</xdr:row>
      <xdr:rowOff>19050</xdr:rowOff>
    </xdr:to>
    <xdr:graphicFrame>
      <xdr:nvGraphicFramePr>
        <xdr:cNvPr id="1" name="Chart 5"/>
        <xdr:cNvGraphicFramePr/>
      </xdr:nvGraphicFramePr>
      <xdr:xfrm>
        <a:off x="0" y="3667125"/>
        <a:ext cx="596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28575</xdr:rowOff>
    </xdr:from>
    <xdr:to>
      <xdr:col>6</xdr:col>
      <xdr:colOff>571500</xdr:colOff>
      <xdr:row>46</xdr:row>
      <xdr:rowOff>123825</xdr:rowOff>
    </xdr:to>
    <xdr:graphicFrame>
      <xdr:nvGraphicFramePr>
        <xdr:cNvPr id="1" name="Chart 6"/>
        <xdr:cNvGraphicFramePr/>
      </xdr:nvGraphicFramePr>
      <xdr:xfrm>
        <a:off x="57150" y="4286250"/>
        <a:ext cx="55721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7</xdr:col>
      <xdr:colOff>476250</xdr:colOff>
      <xdr:row>38</xdr:row>
      <xdr:rowOff>19050</xdr:rowOff>
    </xdr:to>
    <xdr:graphicFrame>
      <xdr:nvGraphicFramePr>
        <xdr:cNvPr id="1" name="Chart 3"/>
        <xdr:cNvGraphicFramePr/>
      </xdr:nvGraphicFramePr>
      <xdr:xfrm>
        <a:off x="0" y="3067050"/>
        <a:ext cx="57816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47625</xdr:rowOff>
    </xdr:from>
    <xdr:to>
      <xdr:col>15</xdr:col>
      <xdr:colOff>552450</xdr:colOff>
      <xdr:row>28</xdr:row>
      <xdr:rowOff>28575</xdr:rowOff>
    </xdr:to>
    <xdr:graphicFrame>
      <xdr:nvGraphicFramePr>
        <xdr:cNvPr id="1" name="Chart 14"/>
        <xdr:cNvGraphicFramePr/>
      </xdr:nvGraphicFramePr>
      <xdr:xfrm>
        <a:off x="5638800" y="581025"/>
        <a:ext cx="58674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47625</xdr:rowOff>
    </xdr:from>
    <xdr:to>
      <xdr:col>10</xdr:col>
      <xdr:colOff>876300</xdr:colOff>
      <xdr:row>44</xdr:row>
      <xdr:rowOff>133350</xdr:rowOff>
    </xdr:to>
    <xdr:graphicFrame>
      <xdr:nvGraphicFramePr>
        <xdr:cNvPr id="1" name="Chart 8"/>
        <xdr:cNvGraphicFramePr/>
      </xdr:nvGraphicFramePr>
      <xdr:xfrm>
        <a:off x="19050" y="3505200"/>
        <a:ext cx="55911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8</xdr:row>
      <xdr:rowOff>9525</xdr:rowOff>
    </xdr:from>
    <xdr:to>
      <xdr:col>2</xdr:col>
      <xdr:colOff>514350</xdr:colOff>
      <xdr:row>8</xdr:row>
      <xdr:rowOff>247650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314450"/>
          <a:ext cx="1400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19050</xdr:rowOff>
    </xdr:from>
    <xdr:to>
      <xdr:col>2</xdr:col>
      <xdr:colOff>304800</xdr:colOff>
      <xdr:row>9</xdr:row>
      <xdr:rowOff>219075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571625"/>
          <a:ext cx="1200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228600</xdr:rowOff>
    </xdr:from>
    <xdr:to>
      <xdr:col>2</xdr:col>
      <xdr:colOff>209550</xdr:colOff>
      <xdr:row>11</xdr:row>
      <xdr:rowOff>9525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781175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238125</xdr:rowOff>
    </xdr:from>
    <xdr:to>
      <xdr:col>2</xdr:col>
      <xdr:colOff>504825</xdr:colOff>
      <xdr:row>11</xdr:row>
      <xdr:rowOff>219075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038350"/>
          <a:ext cx="1400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0</xdr:rowOff>
    </xdr:from>
    <xdr:to>
      <xdr:col>2</xdr:col>
      <xdr:colOff>133350</xdr:colOff>
      <xdr:row>13</xdr:row>
      <xdr:rowOff>9525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295525"/>
          <a:ext cx="1019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0</xdr:rowOff>
    </xdr:from>
    <xdr:to>
      <xdr:col>2</xdr:col>
      <xdr:colOff>466725</xdr:colOff>
      <xdr:row>14</xdr:row>
      <xdr:rowOff>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2543175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238125</xdr:rowOff>
    </xdr:from>
    <xdr:to>
      <xdr:col>3</xdr:col>
      <xdr:colOff>200025</xdr:colOff>
      <xdr:row>14</xdr:row>
      <xdr:rowOff>238125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2781300"/>
          <a:ext cx="1704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0</xdr:rowOff>
    </xdr:from>
    <xdr:to>
      <xdr:col>3</xdr:col>
      <xdr:colOff>28575</xdr:colOff>
      <xdr:row>15</xdr:row>
      <xdr:rowOff>247650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3038475"/>
          <a:ext cx="1533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95250</xdr:rowOff>
    </xdr:from>
    <xdr:to>
      <xdr:col>8</xdr:col>
      <xdr:colOff>1543050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38100" y="2400300"/>
        <a:ext cx="56864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6</xdr:col>
      <xdr:colOff>542925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0" y="1905000"/>
        <a:ext cx="59912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5</xdr:col>
      <xdr:colOff>152400</xdr:colOff>
      <xdr:row>50</xdr:row>
      <xdr:rowOff>19050</xdr:rowOff>
    </xdr:to>
    <xdr:graphicFrame>
      <xdr:nvGraphicFramePr>
        <xdr:cNvPr id="1" name="Chart 9"/>
        <xdr:cNvGraphicFramePr/>
      </xdr:nvGraphicFramePr>
      <xdr:xfrm>
        <a:off x="0" y="4467225"/>
        <a:ext cx="53149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104775</xdr:rowOff>
    </xdr:from>
    <xdr:to>
      <xdr:col>8</xdr:col>
      <xdr:colOff>523875</xdr:colOff>
      <xdr:row>26</xdr:row>
      <xdr:rowOff>133350</xdr:rowOff>
    </xdr:to>
    <xdr:graphicFrame>
      <xdr:nvGraphicFramePr>
        <xdr:cNvPr id="1" name="Chart 7"/>
        <xdr:cNvGraphicFramePr/>
      </xdr:nvGraphicFramePr>
      <xdr:xfrm>
        <a:off x="19050" y="1076325"/>
        <a:ext cx="5381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152400</xdr:rowOff>
    </xdr:from>
    <xdr:to>
      <xdr:col>8</xdr:col>
      <xdr:colOff>523875</xdr:colOff>
      <xdr:row>46</xdr:row>
      <xdr:rowOff>38100</xdr:rowOff>
    </xdr:to>
    <xdr:graphicFrame>
      <xdr:nvGraphicFramePr>
        <xdr:cNvPr id="2" name="Chart 8"/>
        <xdr:cNvGraphicFramePr/>
      </xdr:nvGraphicFramePr>
      <xdr:xfrm>
        <a:off x="9525" y="4552950"/>
        <a:ext cx="53911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/home.htm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1"/>
  <sheetViews>
    <sheetView workbookViewId="0" topLeftCell="A21">
      <selection activeCell="C24" sqref="C24"/>
    </sheetView>
  </sheetViews>
  <sheetFormatPr defaultColWidth="9.140625" defaultRowHeight="12.75"/>
  <cols>
    <col min="1" max="1" width="6.7109375" style="0" customWidth="1"/>
    <col min="2" max="2" width="24.7109375" style="0" customWidth="1"/>
    <col min="3" max="4" width="11.7109375" style="0" customWidth="1"/>
  </cols>
  <sheetData>
    <row r="1" spans="1:7" ht="12.75">
      <c r="A1" s="149" t="s">
        <v>125</v>
      </c>
      <c r="B1" s="149"/>
      <c r="C1" s="149"/>
      <c r="D1" s="149"/>
      <c r="E1" s="149"/>
      <c r="F1" s="42"/>
      <c r="G1" s="5"/>
    </row>
    <row r="2" spans="1:7" ht="12.75">
      <c r="A2" s="23" t="s">
        <v>72</v>
      </c>
      <c r="B2" s="23"/>
      <c r="C2" s="23"/>
      <c r="E2" s="280" t="s">
        <v>82</v>
      </c>
      <c r="F2" s="280"/>
      <c r="G2" s="5"/>
    </row>
    <row r="3" spans="1:7" ht="12.75">
      <c r="A3" s="5" t="s">
        <v>54</v>
      </c>
      <c r="B3" s="5"/>
      <c r="C3" s="64" t="s">
        <v>135</v>
      </c>
      <c r="D3" s="86" t="s">
        <v>81</v>
      </c>
      <c r="E3" s="79" t="s">
        <v>68</v>
      </c>
      <c r="F3" s="79" t="s">
        <v>69</v>
      </c>
      <c r="G3" s="79" t="s">
        <v>67</v>
      </c>
    </row>
    <row r="4" spans="1:7" ht="12.75">
      <c r="A4" s="5"/>
      <c r="B4" s="5" t="s">
        <v>127</v>
      </c>
      <c r="C4" s="69">
        <f>E4*F4</f>
        <v>1000</v>
      </c>
      <c r="D4" s="69">
        <f>C4</f>
        <v>1000</v>
      </c>
      <c r="E4" s="11">
        <v>1000</v>
      </c>
      <c r="F4" s="43">
        <v>1</v>
      </c>
      <c r="G4" s="5" t="s">
        <v>104</v>
      </c>
    </row>
    <row r="5" spans="1:7" ht="12.75">
      <c r="A5" s="5"/>
      <c r="B5" s="5" t="s">
        <v>128</v>
      </c>
      <c r="C5" s="69"/>
      <c r="D5" s="69">
        <f>E5*F5</f>
        <v>250</v>
      </c>
      <c r="E5" s="205">
        <v>250</v>
      </c>
      <c r="F5" s="197">
        <v>1</v>
      </c>
      <c r="G5" s="5" t="s">
        <v>104</v>
      </c>
    </row>
    <row r="6" spans="1:7" ht="12.75">
      <c r="A6" s="5"/>
      <c r="B6" s="5" t="s">
        <v>162</v>
      </c>
      <c r="C6" s="69"/>
      <c r="D6" s="69">
        <f>E6*F6</f>
        <v>4000</v>
      </c>
      <c r="E6" s="206">
        <v>4000</v>
      </c>
      <c r="F6" s="43">
        <v>1</v>
      </c>
      <c r="G6" s="5" t="s">
        <v>104</v>
      </c>
    </row>
    <row r="7" spans="1:7" ht="12.75">
      <c r="A7" s="5"/>
      <c r="B7" s="5" t="s">
        <v>191</v>
      </c>
      <c r="C7" s="69"/>
      <c r="D7" s="44">
        <v>1500</v>
      </c>
      <c r="E7" s="69"/>
      <c r="F7" s="195"/>
      <c r="G7" s="19"/>
    </row>
    <row r="8" spans="1:7" ht="12.75">
      <c r="A8" s="5"/>
      <c r="B8" s="5" t="s">
        <v>129</v>
      </c>
      <c r="C8" s="69">
        <f aca="true" t="shared" si="0" ref="C8:C20">E8*F8</f>
        <v>500</v>
      </c>
      <c r="D8" s="69">
        <f>C8</f>
        <v>500</v>
      </c>
      <c r="E8" s="11">
        <v>500</v>
      </c>
      <c r="F8" s="43">
        <v>1</v>
      </c>
      <c r="G8" s="5" t="s">
        <v>104</v>
      </c>
    </row>
    <row r="9" spans="1:7" ht="12.75">
      <c r="A9" s="5"/>
      <c r="B9" s="5" t="s">
        <v>130</v>
      </c>
      <c r="C9" s="69">
        <f t="shared" si="0"/>
        <v>10000</v>
      </c>
      <c r="D9" s="69">
        <f>C9</f>
        <v>10000</v>
      </c>
      <c r="E9" s="11">
        <v>10000</v>
      </c>
      <c r="F9" s="43">
        <v>1</v>
      </c>
      <c r="G9" s="5" t="s">
        <v>104</v>
      </c>
    </row>
    <row r="10" spans="1:7" ht="12.75">
      <c r="A10" s="5"/>
      <c r="B10" s="5" t="s">
        <v>254</v>
      </c>
      <c r="C10" s="69">
        <f>E10*F10</f>
        <v>3000</v>
      </c>
      <c r="D10" s="69">
        <f>C10</f>
        <v>3000</v>
      </c>
      <c r="E10" s="11">
        <v>3000</v>
      </c>
      <c r="F10" s="43">
        <v>1</v>
      </c>
      <c r="G10" s="5" t="s">
        <v>268</v>
      </c>
    </row>
    <row r="11" spans="1:7" ht="12.75">
      <c r="A11" s="5"/>
      <c r="B11" s="5" t="s">
        <v>163</v>
      </c>
      <c r="C11" s="69">
        <f t="shared" si="0"/>
        <v>2000</v>
      </c>
      <c r="D11" s="69">
        <f>C11</f>
        <v>2000</v>
      </c>
      <c r="E11" s="11">
        <v>2000</v>
      </c>
      <c r="F11" s="43">
        <v>1</v>
      </c>
      <c r="G11" s="5" t="s">
        <v>104</v>
      </c>
    </row>
    <row r="12" spans="1:7" ht="12.75">
      <c r="A12" s="5" t="s">
        <v>77</v>
      </c>
      <c r="B12" s="5"/>
      <c r="C12" s="69"/>
      <c r="D12" s="19"/>
      <c r="E12" s="70"/>
      <c r="F12" s="80"/>
      <c r="G12" s="5"/>
    </row>
    <row r="13" spans="1:7" ht="12.75">
      <c r="A13" s="5"/>
      <c r="B13" s="5" t="s">
        <v>126</v>
      </c>
      <c r="C13" s="69">
        <f t="shared" si="0"/>
        <v>900000</v>
      </c>
      <c r="D13" s="69">
        <f aca="true" t="shared" si="1" ref="D13:D20">E13*F13</f>
        <v>900000</v>
      </c>
      <c r="E13" s="44">
        <v>50000</v>
      </c>
      <c r="F13" s="222">
        <v>18</v>
      </c>
      <c r="G13" s="61" t="s">
        <v>19</v>
      </c>
    </row>
    <row r="14" spans="1:7" ht="12.75">
      <c r="A14" s="5"/>
      <c r="B14" s="5" t="s">
        <v>132</v>
      </c>
      <c r="C14" s="69">
        <f t="shared" si="0"/>
        <v>10000</v>
      </c>
      <c r="D14" s="69">
        <f t="shared" si="1"/>
        <v>10000</v>
      </c>
      <c r="E14" s="44">
        <v>10000</v>
      </c>
      <c r="F14" s="222">
        <v>1</v>
      </c>
      <c r="G14" s="19" t="s">
        <v>104</v>
      </c>
    </row>
    <row r="15" spans="1:7" ht="12.75">
      <c r="A15" s="5"/>
      <c r="B15" s="5" t="s">
        <v>164</v>
      </c>
      <c r="C15" s="69">
        <f t="shared" si="0"/>
        <v>1500</v>
      </c>
      <c r="D15" s="69">
        <f t="shared" si="1"/>
        <v>1500</v>
      </c>
      <c r="E15" s="44">
        <v>1500</v>
      </c>
      <c r="F15" s="222">
        <v>1</v>
      </c>
      <c r="G15" s="5" t="s">
        <v>104</v>
      </c>
    </row>
    <row r="16" spans="1:7" ht="12.75">
      <c r="A16" s="5"/>
      <c r="B16" s="5" t="s">
        <v>165</v>
      </c>
      <c r="C16" s="69">
        <f t="shared" si="0"/>
        <v>300</v>
      </c>
      <c r="D16" s="69">
        <f t="shared" si="1"/>
        <v>300</v>
      </c>
      <c r="E16" s="44">
        <v>300</v>
      </c>
      <c r="F16" s="222">
        <v>1</v>
      </c>
      <c r="G16" s="5" t="s">
        <v>166</v>
      </c>
    </row>
    <row r="17" spans="1:7" ht="12.75">
      <c r="A17" s="5"/>
      <c r="B17" s="5" t="s">
        <v>167</v>
      </c>
      <c r="C17" s="69">
        <f t="shared" si="0"/>
        <v>10000</v>
      </c>
      <c r="D17" s="69">
        <f t="shared" si="1"/>
        <v>10000</v>
      </c>
      <c r="E17" s="44">
        <v>10000</v>
      </c>
      <c r="F17" s="222">
        <v>1</v>
      </c>
      <c r="G17" s="5" t="s">
        <v>104</v>
      </c>
    </row>
    <row r="18" spans="1:7" ht="12.75">
      <c r="A18" s="5"/>
      <c r="B18" s="5" t="s">
        <v>168</v>
      </c>
      <c r="C18" s="69">
        <f t="shared" si="0"/>
        <v>20000</v>
      </c>
      <c r="D18" s="69">
        <f t="shared" si="1"/>
        <v>20000</v>
      </c>
      <c r="E18" s="44">
        <v>20000</v>
      </c>
      <c r="F18" s="222">
        <v>1</v>
      </c>
      <c r="G18" s="5" t="s">
        <v>104</v>
      </c>
    </row>
    <row r="19" spans="1:7" ht="12.75">
      <c r="A19" s="5"/>
      <c r="B19" s="5" t="s">
        <v>169</v>
      </c>
      <c r="C19" s="69">
        <f t="shared" si="0"/>
        <v>5500</v>
      </c>
      <c r="D19" s="69">
        <f t="shared" si="1"/>
        <v>5500</v>
      </c>
      <c r="E19" s="44">
        <v>5500</v>
      </c>
      <c r="F19" s="222">
        <v>1</v>
      </c>
      <c r="G19" s="5" t="s">
        <v>104</v>
      </c>
    </row>
    <row r="20" spans="1:7" ht="12.75">
      <c r="A20" s="5"/>
      <c r="B20" s="5" t="s">
        <v>78</v>
      </c>
      <c r="C20" s="209">
        <f t="shared" si="0"/>
        <v>1000</v>
      </c>
      <c r="D20" s="209">
        <f t="shared" si="1"/>
        <v>1000</v>
      </c>
      <c r="E20" s="44">
        <v>10</v>
      </c>
      <c r="F20" s="222">
        <v>100</v>
      </c>
      <c r="G20" s="5" t="s">
        <v>170</v>
      </c>
    </row>
    <row r="21" spans="1:7" ht="12.75">
      <c r="A21" s="5" t="s">
        <v>133</v>
      </c>
      <c r="B21" s="5"/>
      <c r="C21" s="211">
        <f>SUM(C4:C20)</f>
        <v>964800</v>
      </c>
      <c r="D21" s="211">
        <f>SUM(D4:D20)</f>
        <v>970550</v>
      </c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5.75">
      <c r="A23" s="261" t="s">
        <v>253</v>
      </c>
      <c r="B23" s="5"/>
      <c r="C23" s="5"/>
      <c r="D23" s="5"/>
      <c r="E23" s="5"/>
      <c r="F23" s="5"/>
      <c r="G23" s="5"/>
    </row>
    <row r="24" spans="1:7" ht="16.5" thickBot="1">
      <c r="A24" s="5"/>
      <c r="B24" s="262">
        <v>964800</v>
      </c>
      <c r="C24" s="263" t="str">
        <f>IF(B24=C21,"Correct!","Try again!")</f>
        <v>Correct!</v>
      </c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 t="s">
        <v>197</v>
      </c>
      <c r="D29" s="5" t="s">
        <v>81</v>
      </c>
      <c r="E29" s="5"/>
      <c r="F29" s="5"/>
      <c r="G29" s="5"/>
    </row>
    <row r="30" spans="1:7" ht="12.75">
      <c r="A30" s="5"/>
      <c r="B30" s="5" t="str">
        <f>A3</f>
        <v>Direct Costs</v>
      </c>
      <c r="C30" s="70">
        <f>SUM(C4:C11)</f>
        <v>16500</v>
      </c>
      <c r="D30" s="70">
        <f>SUM(D4:D11)</f>
        <v>22250</v>
      </c>
      <c r="E30" s="5"/>
      <c r="F30" s="5"/>
      <c r="G30" s="5"/>
    </row>
    <row r="31" spans="1:7" ht="12.75">
      <c r="A31" s="5"/>
      <c r="B31" s="5" t="s">
        <v>196</v>
      </c>
      <c r="C31" s="70">
        <f>SUM(C13:C20)</f>
        <v>948300</v>
      </c>
      <c r="D31" s="70">
        <f>SUM(D13:D20)</f>
        <v>948300</v>
      </c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 t="s">
        <v>120</v>
      </c>
      <c r="B51" s="5"/>
      <c r="C51" s="5"/>
      <c r="D51" s="5"/>
      <c r="E51" s="5"/>
      <c r="F51" s="5"/>
      <c r="G51" s="5"/>
    </row>
  </sheetData>
  <mergeCells count="1">
    <mergeCell ref="E2:F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U42"/>
  <sheetViews>
    <sheetView zoomScale="75" zoomScaleNormal="75" workbookViewId="0" topLeftCell="A3">
      <selection activeCell="F34" sqref="F34"/>
    </sheetView>
  </sheetViews>
  <sheetFormatPr defaultColWidth="9.140625" defaultRowHeight="12.75"/>
  <cols>
    <col min="1" max="1" width="2.7109375" style="0" customWidth="1"/>
    <col min="2" max="3" width="1.7109375" style="0" customWidth="1"/>
    <col min="6" max="8" width="7.7109375" style="0" customWidth="1"/>
    <col min="10" max="10" width="2.7109375" style="0" customWidth="1"/>
    <col min="11" max="11" width="15.7109375" style="0" customWidth="1"/>
    <col min="12" max="12" width="13.7109375" style="0" customWidth="1"/>
    <col min="13" max="13" width="2.7109375" style="0" customWidth="1"/>
    <col min="14" max="14" width="18.7109375" style="0" customWidth="1"/>
    <col min="15" max="15" width="9.8515625" style="0" bestFit="1" customWidth="1"/>
    <col min="16" max="16" width="10.7109375" style="0" customWidth="1"/>
    <col min="17" max="17" width="18.7109375" style="0" customWidth="1"/>
    <col min="18" max="18" width="2.7109375" style="0" customWidth="1"/>
    <col min="19" max="19" width="7.7109375" style="0" customWidth="1"/>
    <col min="20" max="20" width="10.7109375" style="0" customWidth="1"/>
  </cols>
  <sheetData>
    <row r="1" spans="1:21" ht="15">
      <c r="A1" s="298" t="s">
        <v>106</v>
      </c>
      <c r="B1" s="298"/>
      <c r="C1" s="298"/>
      <c r="D1" s="298"/>
      <c r="E1" s="298"/>
      <c r="F1" s="298"/>
      <c r="G1" s="298"/>
      <c r="H1" s="88"/>
      <c r="I1" s="146"/>
      <c r="J1" s="146"/>
      <c r="K1" s="146"/>
      <c r="L1" s="146"/>
      <c r="M1" s="97"/>
      <c r="N1" s="175" t="s">
        <v>107</v>
      </c>
      <c r="O1" s="89"/>
      <c r="P1" s="89"/>
      <c r="Q1" s="19"/>
      <c r="R1" s="88"/>
      <c r="S1" s="19"/>
      <c r="T1" s="98"/>
      <c r="U1" s="19"/>
    </row>
    <row r="2" spans="1:21" ht="15">
      <c r="A2" s="5"/>
      <c r="B2" s="5"/>
      <c r="C2" s="5"/>
      <c r="D2" s="18" t="s">
        <v>0</v>
      </c>
      <c r="E2" s="19"/>
      <c r="F2" s="18" t="s">
        <v>6</v>
      </c>
      <c r="G2" s="5"/>
      <c r="H2" s="302" t="s">
        <v>7</v>
      </c>
      <c r="I2" s="302"/>
      <c r="J2" s="5"/>
      <c r="K2" s="86" t="s">
        <v>1</v>
      </c>
      <c r="L2" s="5"/>
      <c r="M2" s="19"/>
      <c r="N2" s="300"/>
      <c r="O2" s="300"/>
      <c r="P2" s="89"/>
      <c r="Q2" s="19"/>
      <c r="R2" s="19"/>
      <c r="S2" s="19"/>
      <c r="T2" s="19"/>
      <c r="U2" s="19"/>
    </row>
    <row r="3" spans="1:21" ht="16.5" thickBot="1">
      <c r="A3" s="5"/>
      <c r="B3" s="5"/>
      <c r="C3" s="5"/>
      <c r="D3" s="20"/>
      <c r="E3" s="5"/>
      <c r="F3" s="5"/>
      <c r="G3" s="5"/>
      <c r="H3" s="5"/>
      <c r="I3" s="5"/>
      <c r="J3" s="5"/>
      <c r="K3" s="5"/>
      <c r="L3" s="5"/>
      <c r="M3" s="103"/>
      <c r="N3" s="90"/>
      <c r="O3" s="90"/>
      <c r="P3" s="90"/>
      <c r="Q3" s="104"/>
      <c r="R3" s="93"/>
      <c r="S3" s="19"/>
      <c r="T3" s="19"/>
      <c r="U3" s="19"/>
    </row>
    <row r="4" spans="1:21" ht="15.75" thickBot="1">
      <c r="A4" s="5"/>
      <c r="B4" s="5"/>
      <c r="C4" s="5"/>
      <c r="D4" s="20"/>
      <c r="E4" s="5"/>
      <c r="F4" s="5"/>
      <c r="G4" s="5"/>
      <c r="H4" s="19"/>
      <c r="I4" s="21" t="s">
        <v>3</v>
      </c>
      <c r="J4" s="21"/>
      <c r="K4" s="180" t="s">
        <v>39</v>
      </c>
      <c r="L4" s="87">
        <f>F$11*I5</f>
        <v>0.0012596797865243499</v>
      </c>
      <c r="M4" s="93"/>
      <c r="N4" s="105"/>
      <c r="O4" s="93"/>
      <c r="P4" s="93"/>
      <c r="Q4" s="93"/>
      <c r="R4" s="93"/>
      <c r="S4" s="19"/>
      <c r="T4" s="19"/>
      <c r="U4" s="19"/>
    </row>
    <row r="5" spans="1:21" ht="15" thickBot="1">
      <c r="A5" s="5"/>
      <c r="B5" s="5"/>
      <c r="C5" s="5"/>
      <c r="D5" s="20"/>
      <c r="E5" s="5"/>
      <c r="F5" s="5"/>
      <c r="G5" s="19"/>
      <c r="H5" s="19" t="s">
        <v>30</v>
      </c>
      <c r="I5" s="38">
        <f>(8Probabilities!D5)</f>
        <v>0.009543028685790529</v>
      </c>
      <c r="J5" s="5"/>
      <c r="K5" s="181" t="s">
        <v>33</v>
      </c>
      <c r="L5" s="5" t="s">
        <v>51</v>
      </c>
      <c r="M5" s="92"/>
      <c r="N5" s="106"/>
      <c r="O5" s="107"/>
      <c r="P5" s="107"/>
      <c r="Q5" s="108"/>
      <c r="R5" s="93"/>
      <c r="S5" s="19"/>
      <c r="T5" s="19"/>
      <c r="U5" s="19"/>
    </row>
    <row r="6" spans="1:21" ht="15" thickBot="1">
      <c r="A6" s="5"/>
      <c r="B6" s="5"/>
      <c r="C6" s="5"/>
      <c r="D6" s="5"/>
      <c r="E6" s="5"/>
      <c r="F6" s="5"/>
      <c r="G6" s="5"/>
      <c r="H6" s="5"/>
      <c r="I6" s="15"/>
      <c r="J6" s="5"/>
      <c r="K6" s="5"/>
      <c r="L6" s="5"/>
      <c r="M6" s="109"/>
      <c r="N6" s="93"/>
      <c r="O6" s="93"/>
      <c r="P6" s="93"/>
      <c r="Q6" s="93"/>
      <c r="R6" s="93"/>
      <c r="S6" s="19"/>
      <c r="T6" s="19"/>
      <c r="U6" s="19"/>
    </row>
    <row r="7" spans="1:21" ht="15" thickBot="1">
      <c r="A7" s="5"/>
      <c r="B7" s="5"/>
      <c r="C7" s="5"/>
      <c r="D7" s="5"/>
      <c r="E7" s="5"/>
      <c r="F7" s="5"/>
      <c r="G7" s="5"/>
      <c r="H7" s="5"/>
      <c r="I7" s="16" t="s">
        <v>156</v>
      </c>
      <c r="J7" s="21"/>
      <c r="K7" s="125" t="s">
        <v>34</v>
      </c>
      <c r="L7" s="87">
        <f>F$11*I8</f>
        <v>0.004140960640426952</v>
      </c>
      <c r="M7" s="109"/>
      <c r="N7" s="93"/>
      <c r="O7" s="93"/>
      <c r="P7" s="93"/>
      <c r="Q7" s="93"/>
      <c r="R7" s="93"/>
      <c r="S7" s="19"/>
      <c r="T7" s="19"/>
      <c r="U7" s="19"/>
    </row>
    <row r="8" spans="1:21" ht="15" thickBot="1">
      <c r="A8" s="5"/>
      <c r="B8" s="5"/>
      <c r="C8" s="5"/>
      <c r="D8" s="5"/>
      <c r="E8" s="5"/>
      <c r="F8" s="5"/>
      <c r="G8" s="5"/>
      <c r="H8" s="5" t="s">
        <v>4</v>
      </c>
      <c r="I8" s="37">
        <f>(8Probabilities!D7)</f>
        <v>0.03137091394262842</v>
      </c>
      <c r="J8" s="5"/>
      <c r="K8" s="126" t="s">
        <v>36</v>
      </c>
      <c r="L8" s="5" t="s">
        <v>52</v>
      </c>
      <c r="M8" s="92"/>
      <c r="N8" s="106"/>
      <c r="O8" s="107"/>
      <c r="P8" s="107"/>
      <c r="Q8" s="108"/>
      <c r="R8" s="93"/>
      <c r="S8" s="19"/>
      <c r="T8" s="19"/>
      <c r="U8" s="19"/>
    </row>
    <row r="9" spans="1:21" ht="15" thickBot="1">
      <c r="A9" s="5"/>
      <c r="B9" s="5"/>
      <c r="C9" s="5"/>
      <c r="D9" s="5"/>
      <c r="E9" s="5"/>
      <c r="F9" s="5"/>
      <c r="G9" s="5"/>
      <c r="H9" s="5"/>
      <c r="I9" s="15"/>
      <c r="J9" s="5"/>
      <c r="K9" s="5"/>
      <c r="L9" s="5"/>
      <c r="M9" s="109"/>
      <c r="N9" s="93"/>
      <c r="O9" s="110"/>
      <c r="P9" s="110"/>
      <c r="Q9" s="93"/>
      <c r="R9" s="93"/>
      <c r="S9" s="19"/>
      <c r="T9" s="19"/>
      <c r="U9" s="19"/>
    </row>
    <row r="10" spans="1:21" ht="15" thickBot="1">
      <c r="A10" s="5"/>
      <c r="B10" s="5"/>
      <c r="C10" s="5"/>
      <c r="D10" s="5"/>
      <c r="E10" s="5"/>
      <c r="F10" s="22" t="s">
        <v>121</v>
      </c>
      <c r="G10" s="21"/>
      <c r="H10" s="21"/>
      <c r="I10" s="27"/>
      <c r="J10" s="21"/>
      <c r="K10" s="127" t="s">
        <v>35</v>
      </c>
      <c r="L10" s="87">
        <f>F$11*I11</f>
        <v>0.010137758505670448</v>
      </c>
      <c r="M10" s="109"/>
      <c r="N10" s="93"/>
      <c r="O10" s="110"/>
      <c r="P10" s="110"/>
      <c r="Q10" s="93"/>
      <c r="R10" s="93"/>
      <c r="S10" s="19"/>
      <c r="T10" s="19"/>
      <c r="U10" s="19"/>
    </row>
    <row r="11" spans="1:21" ht="15" thickBot="1">
      <c r="A11" s="5"/>
      <c r="B11" s="5"/>
      <c r="C11" s="5"/>
      <c r="D11" s="19"/>
      <c r="E11" s="41" t="s">
        <v>2</v>
      </c>
      <c r="F11" s="36">
        <f>(1-(8Probabilities!D2))*F34</f>
        <v>0.132</v>
      </c>
      <c r="G11" s="5"/>
      <c r="H11" s="5" t="s">
        <v>31</v>
      </c>
      <c r="I11" s="226">
        <f>(8Probabilities!D9)</f>
        <v>0.0768012008005337</v>
      </c>
      <c r="J11" s="39"/>
      <c r="K11" s="128" t="s">
        <v>37</v>
      </c>
      <c r="L11" s="5" t="s">
        <v>89</v>
      </c>
      <c r="M11" s="92"/>
      <c r="N11" s="106"/>
      <c r="O11" s="107"/>
      <c r="P11" s="107"/>
      <c r="Q11" s="93"/>
      <c r="R11" s="93"/>
      <c r="S11" s="19"/>
      <c r="T11" s="19"/>
      <c r="U11" s="19"/>
    </row>
    <row r="12" spans="1:21" ht="15" thickBot="1">
      <c r="A12" s="5"/>
      <c r="B12" s="5"/>
      <c r="C12" s="5"/>
      <c r="D12" s="5"/>
      <c r="E12" s="5"/>
      <c r="F12" s="15"/>
      <c r="G12" s="19"/>
      <c r="H12" s="5"/>
      <c r="I12" s="15"/>
      <c r="J12" s="5"/>
      <c r="K12" s="5"/>
      <c r="L12" s="5"/>
      <c r="M12" s="109"/>
      <c r="N12" s="93"/>
      <c r="O12" s="110"/>
      <c r="P12" s="110"/>
      <c r="Q12" s="93"/>
      <c r="R12" s="93"/>
      <c r="S12" s="19"/>
      <c r="T12" s="19"/>
      <c r="U12" s="19"/>
    </row>
    <row r="13" spans="1:21" ht="15" thickBot="1">
      <c r="A13" s="5"/>
      <c r="B13" s="5"/>
      <c r="C13" s="5"/>
      <c r="D13" s="5"/>
      <c r="E13" s="5"/>
      <c r="F13" s="15"/>
      <c r="G13" s="19"/>
      <c r="H13" s="5"/>
      <c r="I13" s="16" t="s">
        <v>157</v>
      </c>
      <c r="J13" s="21"/>
      <c r="K13" s="138" t="s">
        <v>14</v>
      </c>
      <c r="L13" s="87">
        <f>F$11*I14</f>
        <v>0.016201921280853904</v>
      </c>
      <c r="M13" s="109"/>
      <c r="N13" s="93"/>
      <c r="O13" s="110"/>
      <c r="P13" s="110"/>
      <c r="Q13" s="93"/>
      <c r="R13" s="93"/>
      <c r="S13" s="19"/>
      <c r="T13" s="19"/>
      <c r="U13" s="19"/>
    </row>
    <row r="14" spans="1:21" ht="15" thickBot="1">
      <c r="A14" s="5"/>
      <c r="B14" s="5"/>
      <c r="C14" s="5"/>
      <c r="D14" s="5"/>
      <c r="E14" s="5"/>
      <c r="F14" s="15"/>
      <c r="G14" s="19"/>
      <c r="H14" s="5" t="s">
        <v>32</v>
      </c>
      <c r="I14" s="37">
        <f>(8Probabilities!D11)</f>
        <v>0.12274182788525684</v>
      </c>
      <c r="J14" s="26"/>
      <c r="K14" s="139" t="s">
        <v>38</v>
      </c>
      <c r="L14" s="5" t="s">
        <v>90</v>
      </c>
      <c r="M14" s="92"/>
      <c r="N14" s="106"/>
      <c r="O14" s="107"/>
      <c r="P14" s="107"/>
      <c r="Q14" s="93"/>
      <c r="R14" s="93"/>
      <c r="S14" s="19"/>
      <c r="T14" s="19"/>
      <c r="U14" s="19"/>
    </row>
    <row r="15" spans="1:21" ht="15" thickBot="1">
      <c r="A15" s="5"/>
      <c r="B15" s="5"/>
      <c r="C15" s="21"/>
      <c r="D15" s="47" t="s">
        <v>124</v>
      </c>
      <c r="E15" s="21"/>
      <c r="F15" s="15"/>
      <c r="G15" s="19"/>
      <c r="H15" s="5"/>
      <c r="I15" s="15"/>
      <c r="J15" s="5"/>
      <c r="K15" s="5"/>
      <c r="L15" s="5"/>
      <c r="M15" s="111"/>
      <c r="N15" s="112"/>
      <c r="O15" s="93"/>
      <c r="P15" s="19" t="s">
        <v>94</v>
      </c>
      <c r="Q15" s="113"/>
      <c r="R15" s="93"/>
      <c r="S15" s="5"/>
      <c r="T15" s="19"/>
      <c r="U15" s="19"/>
    </row>
    <row r="16" spans="1:21" ht="15" thickBot="1">
      <c r="A16" s="5"/>
      <c r="B16" s="5"/>
      <c r="C16" s="15"/>
      <c r="D16" s="5"/>
      <c r="E16" s="5"/>
      <c r="F16" s="15"/>
      <c r="G16" s="19"/>
      <c r="H16" s="5"/>
      <c r="I16" s="16" t="s">
        <v>12</v>
      </c>
      <c r="J16" s="21"/>
      <c r="K16" s="24" t="s">
        <v>5</v>
      </c>
      <c r="L16" s="87"/>
      <c r="M16" s="92"/>
      <c r="N16" s="93"/>
      <c r="O16" s="93" t="s">
        <v>51</v>
      </c>
      <c r="P16" s="247">
        <f>Q29</f>
        <v>377.90393595730495</v>
      </c>
      <c r="Q16" s="94"/>
      <c r="R16" s="93"/>
      <c r="S16" s="5"/>
      <c r="T16" s="19"/>
      <c r="U16" s="19"/>
    </row>
    <row r="17" spans="1:21" ht="15" thickBot="1">
      <c r="A17" s="5"/>
      <c r="B17" s="5"/>
      <c r="C17" s="15"/>
      <c r="D17" s="5"/>
      <c r="E17" s="5"/>
      <c r="F17" s="15"/>
      <c r="G17" s="42" t="s">
        <v>66</v>
      </c>
      <c r="H17" s="42"/>
      <c r="I17" s="40">
        <f>1-I5-I8-I11-I14</f>
        <v>0.7595430286857907</v>
      </c>
      <c r="J17" s="5"/>
      <c r="K17" s="25"/>
      <c r="L17" s="5"/>
      <c r="M17" s="92"/>
      <c r="N17" s="93"/>
      <c r="O17" s="93" t="s">
        <v>225</v>
      </c>
      <c r="P17" s="247">
        <f>Q30</f>
        <v>1242.2881921280855</v>
      </c>
      <c r="Q17" s="94"/>
      <c r="R17" s="93"/>
      <c r="S17" s="5"/>
      <c r="T17" s="19"/>
      <c r="U17" s="19"/>
    </row>
    <row r="18" spans="1:21" ht="15" thickBot="1">
      <c r="A18" s="5"/>
      <c r="B18" s="5"/>
      <c r="C18" s="15"/>
      <c r="D18" s="5"/>
      <c r="E18" s="5"/>
      <c r="F18" s="15"/>
      <c r="G18" s="19"/>
      <c r="H18" s="5"/>
      <c r="I18" s="5"/>
      <c r="J18" s="5"/>
      <c r="K18" s="5"/>
      <c r="L18" s="5"/>
      <c r="M18" s="92"/>
      <c r="N18" s="93"/>
      <c r="O18" s="93" t="s">
        <v>160</v>
      </c>
      <c r="P18" s="247">
        <f>Q31</f>
        <v>3041.3275517011343</v>
      </c>
      <c r="Q18" s="94"/>
      <c r="R18" s="93"/>
      <c r="S18" s="5"/>
      <c r="T18" s="19"/>
      <c r="U18" s="19"/>
    </row>
    <row r="19" spans="1:21" ht="15" thickBot="1">
      <c r="A19" s="5"/>
      <c r="B19" s="5"/>
      <c r="C19" s="15"/>
      <c r="D19" s="5"/>
      <c r="F19" s="28" t="s">
        <v>122</v>
      </c>
      <c r="G19" s="22"/>
      <c r="H19" s="21"/>
      <c r="I19" s="21"/>
      <c r="J19" s="21"/>
      <c r="K19" s="24" t="s">
        <v>5</v>
      </c>
      <c r="L19" s="5"/>
      <c r="M19" s="92"/>
      <c r="N19" s="93"/>
      <c r="O19" s="93" t="s">
        <v>14</v>
      </c>
      <c r="P19" s="247">
        <f>Q32</f>
        <v>4860.576384256171</v>
      </c>
      <c r="Q19" s="94"/>
      <c r="R19" s="93"/>
      <c r="S19" s="5"/>
      <c r="T19" s="19"/>
      <c r="U19" s="19"/>
    </row>
    <row r="20" spans="1:21" ht="15" thickBot="1">
      <c r="A20" s="5"/>
      <c r="B20" s="5"/>
      <c r="C20" s="15"/>
      <c r="D20" s="5"/>
      <c r="E20" s="41" t="s">
        <v>64</v>
      </c>
      <c r="F20" s="35">
        <f>1-F11</f>
        <v>0.868</v>
      </c>
      <c r="G20" s="5"/>
      <c r="H20" s="19"/>
      <c r="I20" s="19"/>
      <c r="J20" s="5"/>
      <c r="K20" s="25"/>
      <c r="L20" s="5"/>
      <c r="M20" s="109"/>
      <c r="N20" s="19"/>
      <c r="O20" s="19"/>
      <c r="Q20" s="19"/>
      <c r="R20" s="93"/>
      <c r="S20" s="19"/>
      <c r="T20" s="19"/>
      <c r="U20" s="19"/>
    </row>
    <row r="21" spans="1:21" ht="15" thickBot="1">
      <c r="A21" s="5"/>
      <c r="B21" s="5"/>
      <c r="C21" s="16"/>
      <c r="E21" s="19"/>
      <c r="F21" s="19"/>
      <c r="G21" s="19"/>
      <c r="H21" s="19"/>
      <c r="I21" s="19"/>
      <c r="J21" s="5"/>
      <c r="K21" s="5"/>
      <c r="L21" s="5"/>
      <c r="M21" s="109"/>
      <c r="N21" s="93"/>
      <c r="O21" s="93"/>
      <c r="P21" s="93"/>
      <c r="Q21" s="93"/>
      <c r="R21" s="93"/>
      <c r="S21" s="114"/>
      <c r="T21" s="114"/>
      <c r="U21" s="19"/>
    </row>
    <row r="22" spans="2:21" ht="15" thickBot="1">
      <c r="B22" s="2"/>
      <c r="C22" s="3"/>
      <c r="D22" s="5"/>
      <c r="E22" s="5"/>
      <c r="F22" s="5"/>
      <c r="G22" s="5"/>
      <c r="H22" s="5"/>
      <c r="I22" s="5"/>
      <c r="J22" s="5"/>
      <c r="K22" s="5"/>
      <c r="L22" s="5"/>
      <c r="M22" s="109"/>
      <c r="N22" s="93"/>
      <c r="O22" s="93"/>
      <c r="P22" s="93"/>
      <c r="Q22" s="93"/>
      <c r="R22" s="93"/>
      <c r="S22" s="114"/>
      <c r="T22" s="114"/>
      <c r="U22" s="19"/>
    </row>
    <row r="23" spans="1:21" ht="15" thickBot="1">
      <c r="A23" s="5"/>
      <c r="B23" s="5"/>
      <c r="C23" s="17"/>
      <c r="D23" s="5"/>
      <c r="E23" s="19"/>
      <c r="F23" s="19"/>
      <c r="G23" s="19"/>
      <c r="H23" s="5"/>
      <c r="I23" s="5"/>
      <c r="J23" s="5"/>
      <c r="K23" s="5"/>
      <c r="L23" s="5"/>
      <c r="M23" s="109"/>
      <c r="N23" s="93"/>
      <c r="O23" s="93"/>
      <c r="P23" s="93"/>
      <c r="Q23" s="93"/>
      <c r="R23" s="93"/>
      <c r="S23" s="114"/>
      <c r="T23" s="114"/>
      <c r="U23" s="19"/>
    </row>
    <row r="24" spans="1:21" ht="15" thickBot="1">
      <c r="A24" s="5"/>
      <c r="B24" s="5"/>
      <c r="C24" s="15"/>
      <c r="D24" s="5"/>
      <c r="E24" s="19"/>
      <c r="F24" s="22" t="s">
        <v>122</v>
      </c>
      <c r="G24" s="22"/>
      <c r="H24" s="21"/>
      <c r="I24" s="21"/>
      <c r="J24" s="21"/>
      <c r="K24" s="24" t="s">
        <v>5</v>
      </c>
      <c r="L24" s="5"/>
      <c r="M24" s="115"/>
      <c r="N24" s="93"/>
      <c r="O24" s="93"/>
      <c r="P24" s="93"/>
      <c r="Q24" s="93"/>
      <c r="R24" s="93"/>
      <c r="S24" s="114"/>
      <c r="T24" s="114"/>
      <c r="U24" s="19"/>
    </row>
    <row r="25" spans="1:21" ht="16.5" thickBot="1">
      <c r="A25" s="5"/>
      <c r="B25" s="5"/>
      <c r="C25" s="15"/>
      <c r="D25" s="5"/>
      <c r="E25" s="41" t="s">
        <v>88</v>
      </c>
      <c r="F25" s="36">
        <f>1-F34</f>
        <v>0.736</v>
      </c>
      <c r="G25" s="5"/>
      <c r="H25" s="19"/>
      <c r="I25" s="19"/>
      <c r="J25" s="5"/>
      <c r="K25" s="25"/>
      <c r="L25" s="5"/>
      <c r="M25" s="116"/>
      <c r="N25" s="304"/>
      <c r="O25" s="304"/>
      <c r="P25" s="304"/>
      <c r="Q25" s="304"/>
      <c r="R25" s="93"/>
      <c r="S25" s="19"/>
      <c r="T25" s="19"/>
      <c r="U25" s="19"/>
    </row>
    <row r="26" spans="1:21" ht="16.5" thickBot="1">
      <c r="A26" s="5"/>
      <c r="B26" s="5"/>
      <c r="C26" s="15"/>
      <c r="D26" s="5"/>
      <c r="E26" s="19"/>
      <c r="F26" s="15"/>
      <c r="G26" s="5"/>
      <c r="H26" s="5"/>
      <c r="I26" s="5"/>
      <c r="J26" s="5"/>
      <c r="K26" s="5"/>
      <c r="L26" s="5"/>
      <c r="M26" s="117"/>
      <c r="N26" s="301" t="s">
        <v>111</v>
      </c>
      <c r="O26" s="301"/>
      <c r="P26" s="301"/>
      <c r="Q26" s="301"/>
      <c r="R26" s="301"/>
      <c r="S26" s="19"/>
      <c r="T26" s="19"/>
      <c r="U26" s="19"/>
    </row>
    <row r="27" spans="1:21" ht="16.5" thickBot="1">
      <c r="A27" s="5"/>
      <c r="B27" s="5"/>
      <c r="C27" s="15"/>
      <c r="D27" s="5"/>
      <c r="E27" s="5"/>
      <c r="F27" s="15"/>
      <c r="G27" s="19"/>
      <c r="H27" s="19"/>
      <c r="I27" s="21" t="s">
        <v>3</v>
      </c>
      <c r="J27" s="21"/>
      <c r="K27" s="180" t="s">
        <v>39</v>
      </c>
      <c r="L27" s="87">
        <f>F$34*I28</f>
        <v>0.0050387191460973995</v>
      </c>
      <c r="M27" s="118"/>
      <c r="O27" s="303" t="s">
        <v>108</v>
      </c>
      <c r="P27" s="303"/>
      <c r="Q27" s="185" t="s">
        <v>110</v>
      </c>
      <c r="S27" s="19"/>
      <c r="T27" s="19"/>
      <c r="U27" s="19"/>
    </row>
    <row r="28" spans="1:21" ht="16.5" thickBot="1">
      <c r="A28" s="5"/>
      <c r="B28" s="5"/>
      <c r="C28" s="15"/>
      <c r="D28" s="5"/>
      <c r="E28" s="5"/>
      <c r="F28" s="15"/>
      <c r="G28" s="19"/>
      <c r="H28" s="19" t="s">
        <v>48</v>
      </c>
      <c r="I28" s="38">
        <f>(8Probabilities!D15)</f>
        <v>0.019086057371581058</v>
      </c>
      <c r="J28" s="5"/>
      <c r="K28" s="181" t="s">
        <v>33</v>
      </c>
      <c r="L28" s="5" t="s">
        <v>51</v>
      </c>
      <c r="M28" s="119"/>
      <c r="N28" s="103" t="s">
        <v>95</v>
      </c>
      <c r="O28" s="129" t="s">
        <v>158</v>
      </c>
      <c r="P28" s="129" t="s">
        <v>159</v>
      </c>
      <c r="Q28" s="129" t="s">
        <v>109</v>
      </c>
      <c r="R28" s="91"/>
      <c r="S28" s="19"/>
      <c r="T28" s="19"/>
      <c r="U28" s="19"/>
    </row>
    <row r="29" spans="1:21" ht="15.75" thickBot="1">
      <c r="A29" s="5"/>
      <c r="B29" s="5"/>
      <c r="C29" s="16"/>
      <c r="D29" s="48" t="s">
        <v>123</v>
      </c>
      <c r="E29" s="21"/>
      <c r="F29" s="15"/>
      <c r="G29" s="19"/>
      <c r="H29" s="19"/>
      <c r="I29" s="15"/>
      <c r="J29" s="5"/>
      <c r="K29" s="5"/>
      <c r="L29" s="5"/>
      <c r="M29" s="118"/>
      <c r="N29" s="182" t="s">
        <v>51</v>
      </c>
      <c r="O29" s="183">
        <f>100000*L4</f>
        <v>125.967978652435</v>
      </c>
      <c r="P29" s="184">
        <f>100000*L27</f>
        <v>503.87191460974</v>
      </c>
      <c r="Q29" s="183">
        <f>P29-O29</f>
        <v>377.90393595730495</v>
      </c>
      <c r="R29" s="91"/>
      <c r="S29" s="19"/>
      <c r="T29" s="19"/>
      <c r="U29" s="19"/>
    </row>
    <row r="30" spans="1:21" ht="15.75" thickBot="1">
      <c r="A30" s="5"/>
      <c r="B30" s="5"/>
      <c r="C30" s="5"/>
      <c r="D30" s="5"/>
      <c r="E30" s="5"/>
      <c r="F30" s="15"/>
      <c r="G30" s="19"/>
      <c r="H30" s="19"/>
      <c r="I30" s="16" t="s">
        <v>156</v>
      </c>
      <c r="J30" s="21"/>
      <c r="K30" s="125" t="s">
        <v>34</v>
      </c>
      <c r="L30" s="87">
        <f>F$34*I31</f>
        <v>0.016563842561707807</v>
      </c>
      <c r="M30" s="118"/>
      <c r="N30" s="130" t="s">
        <v>225</v>
      </c>
      <c r="O30" s="131">
        <f>100000*L7</f>
        <v>414.09606404269516</v>
      </c>
      <c r="P30" s="132">
        <f>100000*L30</f>
        <v>1656.3842561707806</v>
      </c>
      <c r="Q30" s="131">
        <f>P30-O30</f>
        <v>1242.2881921280855</v>
      </c>
      <c r="R30" s="91"/>
      <c r="S30" s="19"/>
      <c r="T30" s="19"/>
      <c r="U30" s="19"/>
    </row>
    <row r="31" spans="1:21" ht="16.5" thickBot="1">
      <c r="A31" s="5"/>
      <c r="B31" s="5"/>
      <c r="C31" s="5"/>
      <c r="D31" s="5"/>
      <c r="E31" s="5"/>
      <c r="F31" s="15"/>
      <c r="G31" s="19"/>
      <c r="H31" s="19" t="s">
        <v>47</v>
      </c>
      <c r="I31" s="37">
        <f>(8Probabilities!D17)</f>
        <v>0.06274182788525684</v>
      </c>
      <c r="J31" s="5"/>
      <c r="K31" s="126" t="s">
        <v>36</v>
      </c>
      <c r="L31" s="5" t="s">
        <v>52</v>
      </c>
      <c r="M31" s="96"/>
      <c r="N31" s="133" t="s">
        <v>160</v>
      </c>
      <c r="O31" s="131">
        <f>100000*L10</f>
        <v>1013.7758505670448</v>
      </c>
      <c r="P31" s="132">
        <f>100000*L33</f>
        <v>4055.1034022681793</v>
      </c>
      <c r="Q31" s="131">
        <f>P31-O31</f>
        <v>3041.3275517011343</v>
      </c>
      <c r="R31" s="91"/>
      <c r="S31" s="19"/>
      <c r="T31" s="19"/>
      <c r="U31" s="19"/>
    </row>
    <row r="32" spans="1:21" ht="15.75" thickBot="1">
      <c r="A32" s="5"/>
      <c r="B32" s="5"/>
      <c r="C32" s="5"/>
      <c r="D32" s="5"/>
      <c r="E32" s="5"/>
      <c r="F32" s="15"/>
      <c r="G32" s="5"/>
      <c r="H32" s="19"/>
      <c r="I32" s="15"/>
      <c r="J32" s="5"/>
      <c r="K32" s="5"/>
      <c r="L32" s="5"/>
      <c r="M32" s="118"/>
      <c r="N32" s="140" t="s">
        <v>14</v>
      </c>
      <c r="O32" s="141">
        <f>100000*L13</f>
        <v>1620.1921280853903</v>
      </c>
      <c r="P32" s="142">
        <f>100000*L36</f>
        <v>6480.768512341561</v>
      </c>
      <c r="Q32" s="143">
        <f>P32-O32</f>
        <v>4860.576384256171</v>
      </c>
      <c r="R32" s="91"/>
      <c r="S32" s="19"/>
      <c r="T32" s="19"/>
      <c r="U32" s="19"/>
    </row>
    <row r="33" spans="1:21" ht="15.75" thickBot="1">
      <c r="A33" s="5"/>
      <c r="B33" s="5"/>
      <c r="C33" s="5"/>
      <c r="D33" s="5"/>
      <c r="E33" s="5"/>
      <c r="F33" s="28" t="s">
        <v>121</v>
      </c>
      <c r="G33" s="21"/>
      <c r="H33" s="21"/>
      <c r="I33" s="16"/>
      <c r="J33" s="21"/>
      <c r="K33" s="127" t="s">
        <v>35</v>
      </c>
      <c r="L33" s="87">
        <f>F$34*I34</f>
        <v>0.040551034022681794</v>
      </c>
      <c r="M33" s="118"/>
      <c r="N33" s="144" t="s">
        <v>16</v>
      </c>
      <c r="O33" s="145">
        <f>SUM(O29:O32)</f>
        <v>3174.032021347565</v>
      </c>
      <c r="P33" s="145">
        <f>SUM(P29:P32)</f>
        <v>12696.12808539026</v>
      </c>
      <c r="Q33" s="145">
        <f>SUM(Q29:Q32)</f>
        <v>9522.096064042697</v>
      </c>
      <c r="R33" s="105" t="s">
        <v>102</v>
      </c>
      <c r="S33" s="19"/>
      <c r="T33" s="19"/>
      <c r="U33" s="19"/>
    </row>
    <row r="34" spans="1:21" ht="16.5" thickBot="1">
      <c r="A34" s="5"/>
      <c r="B34" s="5"/>
      <c r="C34" s="5"/>
      <c r="D34" s="5"/>
      <c r="E34" s="41" t="s">
        <v>87</v>
      </c>
      <c r="F34" s="36">
        <f>(5RiskFactors!J2)</f>
        <v>0.264</v>
      </c>
      <c r="G34" s="19"/>
      <c r="H34" s="19" t="s">
        <v>50</v>
      </c>
      <c r="I34" s="226">
        <f>(8Probabilities!D19)</f>
        <v>0.1536024016010674</v>
      </c>
      <c r="J34" s="5"/>
      <c r="K34" s="128" t="s">
        <v>37</v>
      </c>
      <c r="L34" s="5" t="s">
        <v>89</v>
      </c>
      <c r="M34" s="96"/>
      <c r="N34" s="108"/>
      <c r="O34" s="107"/>
      <c r="P34" s="107"/>
      <c r="Q34" s="93"/>
      <c r="R34" s="93"/>
      <c r="S34" s="296" t="s">
        <v>103</v>
      </c>
      <c r="T34" s="296"/>
      <c r="U34" s="19"/>
    </row>
    <row r="35" spans="1:21" ht="15.75" thickBot="1">
      <c r="A35" s="5"/>
      <c r="B35" s="5"/>
      <c r="C35" s="5"/>
      <c r="D35" s="5"/>
      <c r="E35" s="5"/>
      <c r="F35" s="1"/>
      <c r="G35" s="19"/>
      <c r="H35" s="19"/>
      <c r="I35" s="15"/>
      <c r="J35" s="5"/>
      <c r="K35" s="5"/>
      <c r="L35" s="5"/>
      <c r="M35" s="118"/>
      <c r="N35" s="93"/>
      <c r="O35" s="110"/>
      <c r="P35" s="110"/>
      <c r="Q35" s="93"/>
      <c r="R35" s="93"/>
      <c r="S35" s="297"/>
      <c r="T35" s="297"/>
      <c r="U35" s="19"/>
    </row>
    <row r="36" spans="1:21" ht="16.5" thickBot="1">
      <c r="A36" s="5"/>
      <c r="B36" s="5"/>
      <c r="C36" s="5"/>
      <c r="D36" s="5"/>
      <c r="E36" s="5"/>
      <c r="F36" s="19"/>
      <c r="G36" s="19"/>
      <c r="H36" s="19"/>
      <c r="I36" s="16" t="s">
        <v>157</v>
      </c>
      <c r="J36" s="21"/>
      <c r="K36" s="138" t="s">
        <v>14</v>
      </c>
      <c r="L36" s="87">
        <f>F$34*I37</f>
        <v>0.06480768512341561</v>
      </c>
      <c r="M36" s="118"/>
      <c r="N36" s="93"/>
      <c r="O36" s="110"/>
      <c r="P36" s="110"/>
      <c r="Q36" s="93"/>
      <c r="R36" s="93"/>
      <c r="S36" s="120"/>
      <c r="T36" s="120"/>
      <c r="U36" s="121"/>
    </row>
    <row r="37" spans="1:21" ht="16.5" thickBot="1">
      <c r="A37" s="5"/>
      <c r="B37" s="5"/>
      <c r="C37" s="5"/>
      <c r="D37" s="5"/>
      <c r="E37" s="5"/>
      <c r="F37" s="19"/>
      <c r="G37" s="19"/>
      <c r="H37" s="19" t="s">
        <v>49</v>
      </c>
      <c r="I37" s="37">
        <f>(8Probabilities!D21)</f>
        <v>0.24548365577051368</v>
      </c>
      <c r="J37" s="5"/>
      <c r="K37" s="139" t="s">
        <v>38</v>
      </c>
      <c r="L37" s="5" t="s">
        <v>90</v>
      </c>
      <c r="M37" s="96"/>
      <c r="N37" s="106"/>
      <c r="O37" s="107"/>
      <c r="P37" s="107"/>
      <c r="Q37" s="93"/>
      <c r="R37" s="93"/>
      <c r="S37" s="120"/>
      <c r="T37" s="120"/>
      <c r="U37" s="121"/>
    </row>
    <row r="38" spans="1:21" ht="16.5" thickBot="1">
      <c r="A38" s="5"/>
      <c r="B38" s="5"/>
      <c r="C38" s="5"/>
      <c r="D38" s="5"/>
      <c r="E38" s="5"/>
      <c r="F38" s="19"/>
      <c r="G38" s="19"/>
      <c r="H38" s="5"/>
      <c r="I38" s="15"/>
      <c r="J38" s="5"/>
      <c r="K38" s="5"/>
      <c r="L38" s="5"/>
      <c r="M38" s="96"/>
      <c r="N38" s="112"/>
      <c r="O38" s="93"/>
      <c r="P38" s="93"/>
      <c r="Q38" s="113"/>
      <c r="R38" s="93"/>
      <c r="S38" s="120"/>
      <c r="T38" s="122"/>
      <c r="U38" s="121"/>
    </row>
    <row r="39" spans="1:21" ht="16.5" thickBot="1">
      <c r="A39" s="5"/>
      <c r="B39" s="5"/>
      <c r="C39" s="5"/>
      <c r="D39" s="5"/>
      <c r="E39" s="5"/>
      <c r="F39" s="19"/>
      <c r="G39" s="19"/>
      <c r="H39" s="5"/>
      <c r="I39" s="16" t="s">
        <v>12</v>
      </c>
      <c r="J39" s="21"/>
      <c r="K39" s="24" t="s">
        <v>5</v>
      </c>
      <c r="L39" s="5"/>
      <c r="M39" s="123"/>
      <c r="N39" s="93"/>
      <c r="O39" s="93"/>
      <c r="P39" s="93"/>
      <c r="Q39" s="94"/>
      <c r="R39" s="93"/>
      <c r="S39" s="95"/>
      <c r="T39" s="124"/>
      <c r="U39" s="121"/>
    </row>
    <row r="40" spans="1:21" ht="17.25" thickBot="1">
      <c r="A40" s="5"/>
      <c r="B40" s="5"/>
      <c r="C40" s="5"/>
      <c r="D40" s="5"/>
      <c r="F40" s="19"/>
      <c r="G40" s="299" t="s">
        <v>65</v>
      </c>
      <c r="H40" s="299"/>
      <c r="I40" s="40">
        <f>1-I28-I31-I34-I37</f>
        <v>0.519086057371581</v>
      </c>
      <c r="J40" s="5"/>
      <c r="K40" s="25"/>
      <c r="L40" s="5"/>
      <c r="M40" s="96"/>
      <c r="N40" s="93"/>
      <c r="O40" s="93"/>
      <c r="P40" s="93"/>
      <c r="Q40" s="94"/>
      <c r="R40" s="93"/>
      <c r="S40" s="95"/>
      <c r="T40" s="124"/>
      <c r="U40" s="121"/>
    </row>
    <row r="41" spans="1:21" ht="15.75">
      <c r="A41" s="5"/>
      <c r="C41" s="5"/>
      <c r="D41" s="5"/>
      <c r="E41" s="5"/>
      <c r="F41" s="19"/>
      <c r="G41" s="19"/>
      <c r="H41" s="5"/>
      <c r="J41" s="5"/>
      <c r="K41" s="5"/>
      <c r="L41" s="5"/>
      <c r="M41" s="96"/>
      <c r="N41" s="93"/>
      <c r="O41" s="93"/>
      <c r="P41" s="93"/>
      <c r="Q41" s="94"/>
      <c r="R41" s="93"/>
      <c r="S41" s="95"/>
      <c r="T41" s="124"/>
      <c r="U41" s="121"/>
    </row>
    <row r="42" spans="1:21" ht="15.75">
      <c r="A42" t="s">
        <v>120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96"/>
      <c r="N42" s="93"/>
      <c r="O42" s="93"/>
      <c r="P42" s="93"/>
      <c r="Q42" s="94"/>
      <c r="R42" s="93"/>
      <c r="S42" s="95"/>
      <c r="T42" s="124"/>
      <c r="U42" s="121"/>
    </row>
  </sheetData>
  <mergeCells count="9">
    <mergeCell ref="S34:T34"/>
    <mergeCell ref="S35:T35"/>
    <mergeCell ref="A1:G1"/>
    <mergeCell ref="G40:H40"/>
    <mergeCell ref="N2:O2"/>
    <mergeCell ref="N26:R26"/>
    <mergeCell ref="H2:I2"/>
    <mergeCell ref="O27:P27"/>
    <mergeCell ref="N25:Q25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50"/>
  <sheetViews>
    <sheetView zoomScale="90" zoomScaleNormal="90" workbookViewId="0" topLeftCell="A1">
      <selection activeCell="G4" sqref="G4"/>
    </sheetView>
  </sheetViews>
  <sheetFormatPr defaultColWidth="9.140625" defaultRowHeight="12.75"/>
  <cols>
    <col min="1" max="1" width="18.7109375" style="0" customWidth="1"/>
    <col min="2" max="3" width="10.7109375" style="0" customWidth="1"/>
    <col min="4" max="4" width="11.00390625" style="0" bestFit="1" customWidth="1"/>
    <col min="5" max="5" width="11.7109375" style="0" customWidth="1"/>
    <col min="6" max="6" width="4.7109375" style="0" customWidth="1"/>
  </cols>
  <sheetData>
    <row r="1" spans="1:8" ht="12.75">
      <c r="A1" s="149" t="s">
        <v>267</v>
      </c>
      <c r="B1" s="159"/>
      <c r="C1" s="42"/>
      <c r="D1" s="5"/>
      <c r="E1" s="5"/>
      <c r="F1" s="5"/>
      <c r="G1" s="5"/>
      <c r="H1" s="5"/>
    </row>
    <row r="2" spans="1:8" ht="12.75">
      <c r="A2" s="18" t="s">
        <v>70</v>
      </c>
      <c r="B2" s="19"/>
      <c r="C2" s="70"/>
      <c r="D2" s="64" t="s">
        <v>53</v>
      </c>
      <c r="E2" s="5"/>
      <c r="F2" s="70"/>
      <c r="G2" s="5"/>
      <c r="H2" s="5"/>
    </row>
    <row r="3" spans="1:8" ht="12.75">
      <c r="A3" s="5"/>
      <c r="B3" s="19" t="s">
        <v>204</v>
      </c>
      <c r="C3" s="160"/>
      <c r="D3" s="218">
        <f>6InterventionCost!F6</f>
        <v>200</v>
      </c>
      <c r="E3" s="62"/>
      <c r="F3" s="70"/>
      <c r="G3" s="5"/>
      <c r="H3" s="5"/>
    </row>
    <row r="4" spans="1:8" ht="12.75">
      <c r="A4" s="5"/>
      <c r="B4" s="19"/>
      <c r="C4" s="160"/>
      <c r="D4" s="62"/>
      <c r="E4" s="62"/>
      <c r="F4" s="70"/>
      <c r="G4" s="5"/>
      <c r="H4" s="5"/>
    </row>
    <row r="5" spans="2:8" ht="12.75">
      <c r="B5" s="19"/>
      <c r="C5" s="5"/>
      <c r="D5" s="23" t="s">
        <v>72</v>
      </c>
      <c r="E5" s="70"/>
      <c r="F5" s="70"/>
      <c r="G5" s="5"/>
      <c r="H5" s="5"/>
    </row>
    <row r="6" spans="1:8" ht="12.75">
      <c r="A6" s="161"/>
      <c r="B6" s="157"/>
      <c r="C6" s="5"/>
      <c r="D6" s="5"/>
      <c r="E6" s="70"/>
      <c r="F6" s="70"/>
      <c r="G6" s="5"/>
      <c r="H6" s="5"/>
    </row>
    <row r="7" spans="1:8" ht="12.75">
      <c r="A7" s="77" t="s">
        <v>83</v>
      </c>
      <c r="B7" s="155"/>
      <c r="C7" s="156"/>
      <c r="D7" s="46">
        <v>2000</v>
      </c>
      <c r="E7" s="70"/>
      <c r="F7" s="70"/>
      <c r="G7" s="5"/>
      <c r="H7" s="5"/>
    </row>
    <row r="8" spans="1:8" ht="12.75">
      <c r="A8" s="5"/>
      <c r="B8" s="67" t="s">
        <v>40</v>
      </c>
      <c r="C8" s="156"/>
      <c r="E8" s="70"/>
      <c r="F8" s="70"/>
      <c r="G8" s="5"/>
      <c r="H8" s="5"/>
    </row>
    <row r="9" spans="1:8" ht="12.75">
      <c r="A9" s="250" t="s">
        <v>22</v>
      </c>
      <c r="B9" s="162" t="s">
        <v>41</v>
      </c>
      <c r="C9" s="156"/>
      <c r="D9" s="11">
        <v>3366388</v>
      </c>
      <c r="E9" s="70"/>
      <c r="F9" s="70"/>
      <c r="G9" s="5"/>
      <c r="H9" s="5"/>
    </row>
    <row r="10" spans="1:8" ht="12.75">
      <c r="A10" s="19"/>
      <c r="B10" s="163"/>
      <c r="C10" s="156"/>
      <c r="D10" s="8"/>
      <c r="E10" s="70"/>
      <c r="F10" s="70"/>
      <c r="G10" s="5"/>
      <c r="H10" s="5"/>
    </row>
    <row r="11" spans="1:8" ht="12.75">
      <c r="A11" s="234" t="s">
        <v>260</v>
      </c>
      <c r="B11" s="155">
        <v>5</v>
      </c>
      <c r="C11" s="156"/>
      <c r="D11" s="11">
        <v>2402997</v>
      </c>
      <c r="E11" s="70"/>
      <c r="F11" s="70"/>
      <c r="G11" s="157"/>
      <c r="H11" s="5"/>
    </row>
    <row r="12" spans="1:8" ht="12.75">
      <c r="A12" s="5"/>
      <c r="B12" s="155"/>
      <c r="C12" s="156"/>
      <c r="D12" s="69"/>
      <c r="E12" s="70"/>
      <c r="F12" s="70"/>
      <c r="G12" s="157"/>
      <c r="H12" s="5"/>
    </row>
    <row r="13" spans="1:8" ht="12.75">
      <c r="A13" s="186" t="s">
        <v>261</v>
      </c>
      <c r="B13" s="155">
        <v>3</v>
      </c>
      <c r="C13" s="156"/>
      <c r="D13" s="11">
        <v>314204</v>
      </c>
      <c r="E13" s="70"/>
      <c r="F13" s="70"/>
      <c r="G13" s="157"/>
      <c r="H13" s="5"/>
    </row>
    <row r="14" spans="1:8" ht="12.75">
      <c r="A14" s="5"/>
      <c r="B14" s="155"/>
      <c r="C14" s="156"/>
      <c r="D14" s="8"/>
      <c r="E14" s="70"/>
      <c r="F14" s="70"/>
      <c r="G14" s="5"/>
      <c r="H14" s="5"/>
    </row>
    <row r="15" spans="1:8" ht="12.75">
      <c r="A15" s="187" t="s">
        <v>262</v>
      </c>
      <c r="B15" s="155">
        <v>1</v>
      </c>
      <c r="C15" s="156"/>
      <c r="D15" s="11">
        <v>15017</v>
      </c>
      <c r="E15" s="70"/>
      <c r="F15" s="70"/>
      <c r="G15" s="157"/>
      <c r="H15" s="5"/>
    </row>
    <row r="16" spans="1:8" ht="12.75">
      <c r="A16" s="5"/>
      <c r="B16" s="155"/>
      <c r="C16" s="156"/>
      <c r="D16" s="69"/>
      <c r="E16" s="70"/>
      <c r="F16" s="70"/>
      <c r="G16" s="157"/>
      <c r="H16" s="5"/>
    </row>
    <row r="17" spans="1:8" ht="12.75" customHeight="1">
      <c r="A17" s="287" t="s">
        <v>241</v>
      </c>
      <c r="B17" s="287"/>
      <c r="C17" s="287"/>
      <c r="D17" s="287"/>
      <c r="E17" s="287"/>
      <c r="F17" s="305">
        <v>2000</v>
      </c>
      <c r="G17" s="305"/>
      <c r="H17" s="5"/>
    </row>
    <row r="18" spans="1:8" ht="12.75" customHeight="1" thickBot="1">
      <c r="A18" s="287"/>
      <c r="B18" s="287"/>
      <c r="C18" s="287"/>
      <c r="D18" s="287"/>
      <c r="E18" s="287"/>
      <c r="F18" s="306"/>
      <c r="G18" s="306"/>
      <c r="H18" s="253" t="str">
        <f>IF(F17=2000,"Correct!","Try again!")</f>
        <v>Correct!</v>
      </c>
    </row>
    <row r="19" spans="1:8" ht="12.75">
      <c r="A19" s="5"/>
      <c r="B19" s="5"/>
      <c r="C19" s="5"/>
      <c r="D19" s="5"/>
      <c r="E19" s="5"/>
      <c r="F19" s="158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77"/>
      <c r="B27" s="5"/>
      <c r="C27" s="20" t="s">
        <v>101</v>
      </c>
      <c r="D27" s="5"/>
      <c r="E27" s="70"/>
      <c r="F27" s="5"/>
      <c r="G27" s="5"/>
      <c r="H27" s="5"/>
    </row>
    <row r="28" spans="1:8" ht="12.75">
      <c r="A28" s="5"/>
      <c r="B28" s="5" t="s">
        <v>3</v>
      </c>
      <c r="C28" s="70">
        <f>D9</f>
        <v>3366388</v>
      </c>
      <c r="D28" s="5"/>
      <c r="E28" s="5"/>
      <c r="F28" s="5"/>
      <c r="G28" s="5"/>
      <c r="H28" s="5"/>
    </row>
    <row r="29" spans="1:8" ht="12.75">
      <c r="A29" s="5"/>
      <c r="B29" s="5" t="s">
        <v>229</v>
      </c>
      <c r="C29" s="70">
        <f>D11</f>
        <v>2402997</v>
      </c>
      <c r="D29" s="5"/>
      <c r="E29" s="5"/>
      <c r="F29" s="5"/>
      <c r="G29" s="5"/>
      <c r="H29" s="5"/>
    </row>
    <row r="30" spans="1:8" ht="12.75">
      <c r="A30" s="5"/>
      <c r="B30" s="5" t="s">
        <v>156</v>
      </c>
      <c r="C30" s="70">
        <f>D13</f>
        <v>314204</v>
      </c>
      <c r="D30" s="5"/>
      <c r="E30" s="5"/>
      <c r="F30" s="5"/>
      <c r="G30" s="5"/>
      <c r="H30" s="5"/>
    </row>
    <row r="31" spans="1:8" ht="12.75">
      <c r="A31" s="5"/>
      <c r="B31" s="5" t="s">
        <v>228</v>
      </c>
      <c r="C31" s="70">
        <f>D15</f>
        <v>15017</v>
      </c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2:8" ht="12.75"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 t="s">
        <v>120</v>
      </c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</sheetData>
  <mergeCells count="2">
    <mergeCell ref="A17:E18"/>
    <mergeCell ref="F17:G18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50"/>
  <sheetViews>
    <sheetView workbookViewId="0" topLeftCell="A1">
      <selection activeCell="G1" sqref="G1"/>
    </sheetView>
  </sheetViews>
  <sheetFormatPr defaultColWidth="9.140625" defaultRowHeight="12.75"/>
  <cols>
    <col min="1" max="1" width="13.28125" style="0" customWidth="1"/>
    <col min="4" max="5" width="10.7109375" style="0" customWidth="1"/>
  </cols>
  <sheetData>
    <row r="1" spans="1:9" ht="12.75">
      <c r="A1" s="149" t="s">
        <v>273</v>
      </c>
      <c r="B1" s="159"/>
      <c r="C1" s="42"/>
      <c r="D1" s="5"/>
      <c r="E1" s="5"/>
      <c r="F1" s="5"/>
      <c r="G1" s="5"/>
      <c r="H1" s="5"/>
      <c r="I1" s="78"/>
    </row>
    <row r="2" spans="1:9" ht="12.75">
      <c r="A2" s="23" t="s">
        <v>72</v>
      </c>
      <c r="B2" s="19"/>
      <c r="C2" s="5"/>
      <c r="E2" s="70"/>
      <c r="F2" s="70"/>
      <c r="G2" s="5"/>
      <c r="H2" s="5"/>
      <c r="I2" s="5"/>
    </row>
    <row r="3" spans="1:9" ht="12.75">
      <c r="A3" s="269" t="s">
        <v>203</v>
      </c>
      <c r="B3" s="191" t="s">
        <v>40</v>
      </c>
      <c r="C3" s="190" t="s">
        <v>112</v>
      </c>
      <c r="D3" s="57">
        <f>'10CostSchedule'!D7</f>
        <v>2000</v>
      </c>
      <c r="E3" s="152" t="s">
        <v>45</v>
      </c>
      <c r="F3" s="70"/>
      <c r="G3" s="5"/>
      <c r="H3" s="5"/>
      <c r="I3" s="5"/>
    </row>
    <row r="4" spans="1:9" ht="12.75">
      <c r="A4" s="5"/>
      <c r="B4" s="5"/>
      <c r="C4" s="156"/>
      <c r="D4" s="5"/>
      <c r="E4" s="70"/>
      <c r="F4" s="70"/>
      <c r="G4" s="5"/>
      <c r="H4" s="5"/>
      <c r="I4" s="5"/>
    </row>
    <row r="5" spans="1:9" ht="12.75">
      <c r="A5" s="19" t="s">
        <v>22</v>
      </c>
      <c r="B5" s="162" t="s">
        <v>41</v>
      </c>
      <c r="C5" s="188">
        <f>B$17/100</f>
        <v>1.1347</v>
      </c>
      <c r="D5" s="69">
        <f>'10CostSchedule'!D9</f>
        <v>3366388</v>
      </c>
      <c r="E5" s="34">
        <f>C5*D5</f>
        <v>3819840.4636000004</v>
      </c>
      <c r="F5" s="70"/>
      <c r="G5" s="5"/>
      <c r="H5" s="5"/>
      <c r="I5" s="5"/>
    </row>
    <row r="6" spans="1:9" ht="12.75">
      <c r="A6" s="19"/>
      <c r="B6" s="163"/>
      <c r="C6" s="189"/>
      <c r="D6" s="70"/>
      <c r="E6" s="8"/>
      <c r="F6" s="70"/>
      <c r="G6" s="5"/>
      <c r="H6" s="5"/>
      <c r="I6" s="5"/>
    </row>
    <row r="7" spans="1:9" ht="12.75">
      <c r="A7" s="5" t="s">
        <v>226</v>
      </c>
      <c r="B7" s="155">
        <v>3</v>
      </c>
      <c r="C7" s="188">
        <f>B$17/100</f>
        <v>1.1347</v>
      </c>
      <c r="D7" s="69">
        <f>'10CostSchedule'!D11</f>
        <v>2402997</v>
      </c>
      <c r="E7" s="34">
        <f>C7*D7</f>
        <v>2726680.6959</v>
      </c>
      <c r="F7" s="70"/>
      <c r="G7" s="157"/>
      <c r="H7" s="5"/>
      <c r="I7" s="5"/>
    </row>
    <row r="8" spans="1:9" ht="12.75">
      <c r="A8" s="5"/>
      <c r="B8" s="155"/>
      <c r="C8" s="233"/>
      <c r="D8" s="69"/>
      <c r="E8" s="70"/>
      <c r="F8" s="70"/>
      <c r="G8" s="157"/>
      <c r="H8" s="5"/>
      <c r="I8" s="5"/>
    </row>
    <row r="9" spans="1:9" ht="12.75">
      <c r="A9" s="5" t="s">
        <v>161</v>
      </c>
      <c r="B9" s="155"/>
      <c r="C9" s="188">
        <f>B$17/100</f>
        <v>1.1347</v>
      </c>
      <c r="D9" s="69">
        <f>'10CostSchedule'!D13</f>
        <v>314204</v>
      </c>
      <c r="E9" s="34">
        <f>C9*D9</f>
        <v>356527.27880000003</v>
      </c>
      <c r="F9" s="70"/>
      <c r="G9" s="157"/>
      <c r="H9" s="5"/>
      <c r="I9" s="5"/>
    </row>
    <row r="10" spans="1:9" ht="12.75">
      <c r="A10" s="5"/>
      <c r="B10" s="155"/>
      <c r="C10" s="189"/>
      <c r="D10" s="70"/>
      <c r="E10" s="8"/>
      <c r="F10" s="70"/>
      <c r="G10" s="5"/>
      <c r="H10" s="5"/>
      <c r="I10" s="5"/>
    </row>
    <row r="11" spans="1:9" ht="12.75">
      <c r="A11" s="5" t="s">
        <v>227</v>
      </c>
      <c r="B11" s="155">
        <v>1</v>
      </c>
      <c r="C11" s="188">
        <f>B$17/100</f>
        <v>1.1347</v>
      </c>
      <c r="D11" s="69">
        <f>'10CostSchedule'!D15</f>
        <v>15017</v>
      </c>
      <c r="E11" s="34">
        <f>C11*D11</f>
        <v>17039.7899</v>
      </c>
      <c r="F11" s="70"/>
      <c r="G11" s="157"/>
      <c r="H11" s="5"/>
      <c r="I11" s="5"/>
    </row>
    <row r="12" spans="1:9" ht="12.75">
      <c r="A12" s="5"/>
      <c r="B12" s="155"/>
      <c r="C12" s="156"/>
      <c r="D12" s="69"/>
      <c r="E12" s="70"/>
      <c r="F12" s="70"/>
      <c r="G12" s="157"/>
      <c r="H12" s="5"/>
      <c r="I12" s="5"/>
    </row>
    <row r="13" spans="1:9" ht="12.75">
      <c r="A13" s="23" t="s">
        <v>46</v>
      </c>
      <c r="B13" s="155"/>
      <c r="C13" s="156"/>
      <c r="D13" s="69"/>
      <c r="E13" s="70"/>
      <c r="F13" s="70"/>
      <c r="G13" s="157"/>
      <c r="H13" s="5"/>
      <c r="I13" s="5"/>
    </row>
    <row r="14" spans="1:9" ht="12.75">
      <c r="A14" s="5"/>
      <c r="B14" s="153">
        <v>100</v>
      </c>
      <c r="C14" s="154" t="s">
        <v>60</v>
      </c>
      <c r="D14" s="151" t="s">
        <v>42</v>
      </c>
      <c r="E14" s="66"/>
      <c r="F14" s="70"/>
      <c r="G14" s="157"/>
      <c r="H14" s="5"/>
      <c r="I14" s="5"/>
    </row>
    <row r="15" spans="1:9" ht="12.75">
      <c r="A15" s="154" t="s">
        <v>43</v>
      </c>
      <c r="B15" s="46">
        <f>D3</f>
        <v>2000</v>
      </c>
      <c r="C15" s="5"/>
      <c r="D15" s="5"/>
      <c r="E15" s="66"/>
      <c r="F15" s="70"/>
      <c r="G15" s="157"/>
      <c r="H15" s="5"/>
      <c r="I15" s="5"/>
    </row>
    <row r="16" spans="1:9" ht="12.75">
      <c r="A16" s="5"/>
      <c r="B16" s="6" t="s">
        <v>44</v>
      </c>
      <c r="D16" s="5"/>
      <c r="E16" s="10"/>
      <c r="F16" s="70"/>
      <c r="G16" s="157"/>
      <c r="H16" s="5"/>
      <c r="I16" s="5"/>
    </row>
    <row r="17" spans="1:9" ht="12.75">
      <c r="A17" s="5"/>
      <c r="B17" s="12">
        <v>113.47</v>
      </c>
      <c r="C17" s="277" t="s">
        <v>62</v>
      </c>
      <c r="D17" s="278"/>
      <c r="E17" s="278"/>
      <c r="F17" s="70"/>
      <c r="G17" s="157"/>
      <c r="H17" s="5"/>
      <c r="I17" s="5"/>
    </row>
    <row r="18" spans="1:9" ht="12.75">
      <c r="A18" s="5"/>
      <c r="B18" s="164" t="s">
        <v>113</v>
      </c>
      <c r="C18" s="5"/>
      <c r="D18" s="5"/>
      <c r="E18" s="70"/>
      <c r="F18" s="70"/>
      <c r="G18" s="157"/>
      <c r="H18" s="5"/>
      <c r="I18" s="5"/>
    </row>
    <row r="19" spans="1:9" ht="12.75">
      <c r="A19" s="5"/>
      <c r="B19" s="5"/>
      <c r="C19" s="70"/>
      <c r="D19" s="70"/>
      <c r="E19" s="157"/>
      <c r="F19" s="5"/>
      <c r="G19" s="5"/>
      <c r="H19" s="5"/>
      <c r="I19" s="5"/>
    </row>
    <row r="20" spans="1:9" ht="12.75" customHeight="1">
      <c r="A20" s="287" t="s">
        <v>238</v>
      </c>
      <c r="B20" s="287"/>
      <c r="C20" s="287"/>
      <c r="D20" s="287"/>
      <c r="E20" s="287"/>
      <c r="F20" s="287"/>
      <c r="G20" s="275" t="s">
        <v>237</v>
      </c>
      <c r="H20" s="5"/>
      <c r="I20" s="5"/>
    </row>
    <row r="21" spans="1:9" ht="16.5" thickBot="1">
      <c r="A21" s="287"/>
      <c r="B21" s="287"/>
      <c r="C21" s="287"/>
      <c r="D21" s="287"/>
      <c r="E21" s="287"/>
      <c r="F21" s="287"/>
      <c r="G21" s="256" t="s">
        <v>237</v>
      </c>
      <c r="H21" s="253" t="str">
        <f>IF(G20=G21,"Correct!","Try again!")</f>
        <v>Correct!</v>
      </c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155"/>
      <c r="C25" s="156"/>
      <c r="D25" s="5"/>
      <c r="E25" s="5"/>
      <c r="F25" s="5"/>
      <c r="G25" s="5"/>
      <c r="H25" s="5"/>
      <c r="I25" s="5"/>
    </row>
    <row r="26" spans="1:9" ht="12.75">
      <c r="A26" s="165"/>
      <c r="B26" s="165" t="s">
        <v>53</v>
      </c>
      <c r="C26" s="165" t="s">
        <v>218</v>
      </c>
      <c r="D26" s="5"/>
      <c r="E26" s="5"/>
      <c r="F26" s="5"/>
      <c r="G26" s="5"/>
      <c r="H26" s="5"/>
      <c r="I26" s="5"/>
    </row>
    <row r="27" spans="1:9" ht="12.75">
      <c r="A27" s="166" t="s">
        <v>3</v>
      </c>
      <c r="B27" s="167">
        <f>D5</f>
        <v>3366388</v>
      </c>
      <c r="C27" s="167">
        <f>E5</f>
        <v>3819840.4636000004</v>
      </c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2:9" ht="12.75"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 t="s">
        <v>120</v>
      </c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 t="s">
        <v>120</v>
      </c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</sheetData>
  <mergeCells count="2">
    <mergeCell ref="C17:E17"/>
    <mergeCell ref="A20:F21"/>
  </mergeCells>
  <hyperlinks>
    <hyperlink ref="D14" r:id="rId1" display="www.bls.gov/cpi/home.htm"/>
  </hyperlinks>
  <printOptions/>
  <pageMargins left="0.75" right="0.75" top="1" bottom="1" header="0.5" footer="0.5"/>
  <pageSetup horizontalDpi="300" verticalDpi="300" orientation="portrait" r:id="rId5"/>
  <drawing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52"/>
  <sheetViews>
    <sheetView workbookViewId="0" topLeftCell="A1">
      <selection activeCell="F5" sqref="F5:F6"/>
    </sheetView>
  </sheetViews>
  <sheetFormatPr defaultColWidth="9.140625" defaultRowHeight="12.75"/>
  <cols>
    <col min="1" max="1" width="22.7109375" style="0" customWidth="1"/>
    <col min="2" max="3" width="9.7109375" style="0" customWidth="1"/>
    <col min="4" max="4" width="1.7109375" style="0" customWidth="1"/>
    <col min="5" max="5" width="9.28125" style="0" bestFit="1" customWidth="1"/>
    <col min="6" max="6" width="10.00390625" style="0" bestFit="1" customWidth="1"/>
  </cols>
  <sheetData>
    <row r="1" spans="1:9" ht="12.75">
      <c r="A1" s="149" t="s">
        <v>114</v>
      </c>
      <c r="B1" s="149"/>
      <c r="C1" s="149"/>
      <c r="D1" s="65"/>
      <c r="E1" s="65"/>
      <c r="F1" s="65"/>
      <c r="G1" s="78"/>
      <c r="H1" s="5"/>
      <c r="I1" s="5"/>
    </row>
    <row r="2" spans="1:9" ht="12.75">
      <c r="A2" s="23" t="s">
        <v>17</v>
      </c>
      <c r="B2" s="5"/>
      <c r="C2" s="192">
        <v>0.03</v>
      </c>
      <c r="D2" s="65"/>
      <c r="E2" s="65"/>
      <c r="F2" s="65"/>
      <c r="G2" s="78"/>
      <c r="H2" s="5"/>
      <c r="I2" s="5"/>
    </row>
    <row r="3" spans="1:9" ht="12.75">
      <c r="A3" s="5" t="s">
        <v>20</v>
      </c>
      <c r="B3" s="5"/>
      <c r="C3" s="5"/>
      <c r="D3" s="65"/>
      <c r="E3" s="65"/>
      <c r="F3" s="65"/>
      <c r="G3" s="78"/>
      <c r="H3" s="5"/>
      <c r="I3" s="5"/>
    </row>
    <row r="4" spans="1:9" ht="12.75">
      <c r="A4" s="5"/>
      <c r="B4" s="5"/>
      <c r="C4" s="5"/>
      <c r="D4" s="65"/>
      <c r="E4" s="65"/>
      <c r="F4" s="65"/>
      <c r="G4" s="78"/>
      <c r="H4" s="5"/>
      <c r="I4" s="5"/>
    </row>
    <row r="5" spans="1:9" ht="12.75">
      <c r="A5" s="23" t="s">
        <v>18</v>
      </c>
      <c r="B5" s="5"/>
      <c r="C5" s="7">
        <f>'12CostEffectiveness'!B2</f>
        <v>30</v>
      </c>
      <c r="D5" s="65" t="s">
        <v>19</v>
      </c>
      <c r="E5" s="65"/>
      <c r="F5" s="65"/>
      <c r="G5" s="5"/>
      <c r="H5" s="5"/>
      <c r="I5" s="5"/>
    </row>
    <row r="6" spans="1:9" ht="12.75">
      <c r="A6" s="5" t="s">
        <v>115</v>
      </c>
      <c r="B6" s="5"/>
      <c r="C6" s="19"/>
      <c r="D6" s="65"/>
      <c r="E6" s="65"/>
      <c r="F6" s="65"/>
      <c r="G6" s="5"/>
      <c r="H6" s="5"/>
      <c r="I6" s="5"/>
    </row>
    <row r="7" spans="1:9" ht="12.75">
      <c r="A7" s="77" t="s">
        <v>21</v>
      </c>
      <c r="B7" s="5"/>
      <c r="C7" s="19"/>
      <c r="D7" s="65"/>
      <c r="E7" s="65"/>
      <c r="F7" s="65"/>
      <c r="G7" s="5"/>
      <c r="H7" s="5"/>
      <c r="I7" s="5"/>
    </row>
    <row r="8" spans="1:9" ht="12.75">
      <c r="A8" s="77"/>
      <c r="B8" s="5"/>
      <c r="C8" s="19"/>
      <c r="D8" s="65"/>
      <c r="E8" s="65"/>
      <c r="F8" s="65"/>
      <c r="G8" s="5"/>
      <c r="H8" s="5"/>
      <c r="I8" s="5"/>
    </row>
    <row r="9" spans="1:9" ht="12.75">
      <c r="A9" s="20"/>
      <c r="B9" s="279" t="s">
        <v>26</v>
      </c>
      <c r="C9" s="279"/>
      <c r="D9" s="65"/>
      <c r="E9" s="279" t="s">
        <v>57</v>
      </c>
      <c r="F9" s="279"/>
      <c r="G9" s="5"/>
      <c r="H9" s="5"/>
      <c r="I9" s="5"/>
    </row>
    <row r="10" spans="1:9" ht="12.75">
      <c r="A10" s="20" t="s">
        <v>25</v>
      </c>
      <c r="B10" s="52">
        <v>0</v>
      </c>
      <c r="C10" s="52">
        <f>C2</f>
        <v>0.03</v>
      </c>
      <c r="D10" s="65"/>
      <c r="E10" s="150" t="s">
        <v>55</v>
      </c>
      <c r="F10" s="150" t="s">
        <v>58</v>
      </c>
      <c r="G10" s="5"/>
      <c r="H10" s="5"/>
      <c r="I10" s="5"/>
    </row>
    <row r="11" spans="1:9" ht="12.75">
      <c r="A11" s="5" t="s">
        <v>15</v>
      </c>
      <c r="B11" s="34">
        <f>6InterventionCost!F6</f>
        <v>200</v>
      </c>
      <c r="C11" s="34">
        <f>B11</f>
        <v>200</v>
      </c>
      <c r="D11" s="5"/>
      <c r="E11" s="34">
        <f>6InterventionCost!F12</f>
        <v>11000</v>
      </c>
      <c r="F11" s="34">
        <f>6InterventionCost!F12</f>
        <v>11000</v>
      </c>
      <c r="G11" s="5"/>
      <c r="H11" s="5"/>
      <c r="I11" s="5"/>
    </row>
    <row r="12" spans="1:9" ht="12.75">
      <c r="A12" s="5" t="s">
        <v>3</v>
      </c>
      <c r="B12" s="99">
        <f>-'11Inflation'!E5*(DecisionTree!L27-DecisionTree!L4)*$C$5</f>
        <v>-433059.82377702504</v>
      </c>
      <c r="C12" s="99">
        <f>-('11Inflation'!$E$5*(DecisionTree!$L27-DecisionTree!$L4)*(1/$C$10-(1/($C$10*POWER(1+$C$10,$C$5)))))</f>
        <v>-282938.7892251098</v>
      </c>
      <c r="D12" s="5"/>
      <c r="E12" s="8"/>
      <c r="F12" s="8"/>
      <c r="G12" s="5"/>
      <c r="H12" s="5"/>
      <c r="I12" s="5"/>
    </row>
    <row r="13" spans="1:9" ht="12.75">
      <c r="A13" s="5" t="s">
        <v>10</v>
      </c>
      <c r="B13" s="99">
        <f>-'11Inflation'!E7*(DecisionTree!L30-DecisionTree!L7)*$C$5</f>
        <v>-1016196.9696660484</v>
      </c>
      <c r="C13" s="99">
        <f>-('11Inflation'!$E$7*(DecisionTree!$L30-DecisionTree!$L7)*(1/$C$10-(1/($C$10*POWER(1+$C$10,$C$5)))))</f>
        <v>-663930.3034482765</v>
      </c>
      <c r="D13" s="5"/>
      <c r="E13" s="8"/>
      <c r="F13" s="8"/>
      <c r="G13" s="5"/>
      <c r="H13" s="5"/>
      <c r="I13" s="5"/>
    </row>
    <row r="14" spans="1:9" ht="12.75">
      <c r="A14" s="5" t="s">
        <v>13</v>
      </c>
      <c r="B14" s="99">
        <f>-'11Inflation'!E9*(DecisionTree!L33-DecisionTree!L10)*$C$5</f>
        <v>-325294.8707842416</v>
      </c>
      <c r="C14" s="99"/>
      <c r="D14" s="5"/>
      <c r="E14" s="8"/>
      <c r="F14" s="8"/>
      <c r="G14" s="5"/>
      <c r="H14" s="5"/>
      <c r="I14" s="5"/>
    </row>
    <row r="15" spans="1:9" ht="13.5" thickBot="1">
      <c r="A15" s="5" t="s">
        <v>11</v>
      </c>
      <c r="B15" s="100">
        <f>-'11Inflation'!E11*(DecisionTree!L36-DecisionTree!L13)*$C$5</f>
        <v>-24846.96011418805</v>
      </c>
      <c r="C15" s="100">
        <f>-('11Inflation'!$E$11*(DecisionTree!$L36-DecisionTree!$L13)*(1/$C$10-(1/($C$10*POWER(1+$C$10,$C$5)))))</f>
        <v>-16233.712814358587</v>
      </c>
      <c r="D15" s="5"/>
      <c r="E15" s="32"/>
      <c r="F15" s="32"/>
      <c r="G15" s="5"/>
      <c r="H15" s="5"/>
      <c r="I15" s="5"/>
    </row>
    <row r="16" spans="1:9" ht="12.75">
      <c r="A16" s="5" t="s">
        <v>28</v>
      </c>
      <c r="B16" s="14">
        <f>SUM(B11:B15)</f>
        <v>-1799198.6243415033</v>
      </c>
      <c r="C16" s="14">
        <f>SUM(C11:C15)</f>
        <v>-962902.8054877447</v>
      </c>
      <c r="D16" s="5"/>
      <c r="E16" s="14">
        <f>SUM(E11:E15)</f>
        <v>11000</v>
      </c>
      <c r="F16" s="14">
        <f>SUM(F11:F15)</f>
        <v>11000</v>
      </c>
      <c r="G16" s="5"/>
      <c r="H16" s="5"/>
      <c r="I16" s="5"/>
    </row>
    <row r="17" spans="1:9" ht="12.75">
      <c r="A17" s="5"/>
      <c r="B17" s="171"/>
      <c r="C17" s="171"/>
      <c r="D17" s="5"/>
      <c r="E17" s="5"/>
      <c r="F17" s="5"/>
      <c r="G17" s="5"/>
      <c r="H17" s="5"/>
      <c r="I17" s="5"/>
    </row>
    <row r="18" spans="1:9" ht="12.75">
      <c r="A18" s="20" t="s">
        <v>27</v>
      </c>
      <c r="B18" s="5"/>
      <c r="C18" s="5"/>
      <c r="D18" s="5"/>
      <c r="E18" s="5"/>
      <c r="F18" s="5"/>
      <c r="G18" s="5"/>
      <c r="H18" s="5"/>
      <c r="I18" s="5"/>
    </row>
    <row r="19" spans="1:9" ht="12.75">
      <c r="A19" s="5" t="s">
        <v>3</v>
      </c>
      <c r="B19" s="102">
        <f>(DecisionTree!L27-DecisionTree!L4)*$C$5</f>
        <v>0.1133711807871915</v>
      </c>
      <c r="C19" s="134">
        <f>(DecisionTree!L27-DecisionTree!L4)*(1/$C$10-(1/($C$10*(POWER(1+$C$10,$C$5)))))</f>
        <v>0.07407083932464938</v>
      </c>
      <c r="D19" s="5"/>
      <c r="E19" s="5"/>
      <c r="F19" s="5"/>
      <c r="G19" s="5"/>
      <c r="H19" s="5"/>
      <c r="I19" s="5"/>
    </row>
    <row r="20" spans="1:9" ht="12.75">
      <c r="A20" s="5" t="s">
        <v>10</v>
      </c>
      <c r="B20" s="102">
        <f>(DecisionTree!L30-DecisionTree!L7)*$C$5</f>
        <v>0.37268645763842567</v>
      </c>
      <c r="C20" s="134">
        <f>(DecisionTree!L30-DecisionTree!L7)*(1/$C$10-(1/($C$10*(POWER(1+$C$10,$C$5)))))</f>
        <v>0.24349396848945376</v>
      </c>
      <c r="D20" s="5"/>
      <c r="E20" s="5"/>
      <c r="F20" s="5"/>
      <c r="G20" s="5"/>
      <c r="H20" s="5"/>
      <c r="I20" s="5"/>
    </row>
    <row r="21" spans="1:9" ht="12.75">
      <c r="A21" s="5" t="s">
        <v>13</v>
      </c>
      <c r="B21" s="102">
        <f>(DecisionTree!L33-DecisionTree!L10)*$C$5</f>
        <v>0.9123982655103404</v>
      </c>
      <c r="C21" s="134">
        <f>(DecisionTree!L30-DecisionTree!L10)*(1/$C$10-(1/($C$10*(POWER(1+$C$10,$C$5)))))</f>
        <v>0.12595408364712307</v>
      </c>
      <c r="D21" s="5"/>
      <c r="E21" s="101">
        <v>1</v>
      </c>
      <c r="F21" s="101">
        <v>1</v>
      </c>
      <c r="G21" s="5"/>
      <c r="H21" s="5"/>
      <c r="I21" s="5"/>
    </row>
    <row r="22" spans="1:9" ht="13.5" thickBot="1">
      <c r="A22" s="5" t="s">
        <v>11</v>
      </c>
      <c r="B22" s="135">
        <f>(DecisionTree!L36-DecisionTree!L13)*$C$5</f>
        <v>1.4581729152768514</v>
      </c>
      <c r="C22" s="136">
        <f>(DecisionTree!L36-DecisionTree!L13)*(1/$C$10-(1/($C$10*(POWER(1+$C$10,$C$5)))))</f>
        <v>0.9526944234423094</v>
      </c>
      <c r="D22" s="5"/>
      <c r="E22" s="31"/>
      <c r="F22" s="31"/>
      <c r="G22" s="5"/>
      <c r="H22" s="5"/>
      <c r="I22" s="5"/>
    </row>
    <row r="23" spans="1:9" ht="12.75">
      <c r="A23" s="5" t="s">
        <v>16</v>
      </c>
      <c r="B23" s="168">
        <f>SUM(B19:B22)</f>
        <v>2.8566288192128093</v>
      </c>
      <c r="C23" s="168">
        <f>SUM(C19:C22)</f>
        <v>1.3962133149035356</v>
      </c>
      <c r="D23" s="5"/>
      <c r="E23" s="169">
        <f>SUM(E19:E22)</f>
        <v>1</v>
      </c>
      <c r="F23" s="169">
        <f>SUM(F19:F22)</f>
        <v>1</v>
      </c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165"/>
      <c r="B25" s="167"/>
      <c r="C25" s="70"/>
      <c r="D25" s="5"/>
      <c r="E25" s="5"/>
      <c r="F25" s="5"/>
      <c r="G25" s="5"/>
      <c r="H25" s="5"/>
      <c r="I25" s="5"/>
    </row>
    <row r="26" spans="1:9" ht="12.75">
      <c r="A26" s="5"/>
      <c r="B26" s="167"/>
      <c r="C26" s="70"/>
      <c r="D26" s="5"/>
      <c r="E26" s="5"/>
      <c r="F26" s="5"/>
      <c r="G26" s="5"/>
      <c r="H26" s="5"/>
      <c r="I26" s="5"/>
    </row>
    <row r="27" spans="1:9" ht="12.75">
      <c r="A27" s="165" t="str">
        <f>A12</f>
        <v>Death</v>
      </c>
      <c r="B27" s="65"/>
      <c r="C27" s="65"/>
      <c r="D27" s="65"/>
      <c r="E27" s="5"/>
      <c r="F27" s="5"/>
      <c r="G27" s="5"/>
      <c r="H27" s="5"/>
      <c r="I27" s="5"/>
    </row>
    <row r="28" spans="1:9" ht="12.75">
      <c r="A28" s="165" t="str">
        <f>A13</f>
        <v>Disability</v>
      </c>
      <c r="B28" s="65"/>
      <c r="C28" s="170">
        <f>B10</f>
        <v>0</v>
      </c>
      <c r="D28" s="170">
        <f>C10</f>
        <v>0.03</v>
      </c>
      <c r="E28" s="5"/>
      <c r="F28" s="5"/>
      <c r="G28" s="5"/>
      <c r="H28" s="5"/>
      <c r="I28" s="5"/>
    </row>
    <row r="29" spans="1:9" ht="12.75">
      <c r="A29" s="165" t="e">
        <f>#REF!</f>
        <v>#REF!</v>
      </c>
      <c r="B29" s="65" t="str">
        <f>A11</f>
        <v>Intervention</v>
      </c>
      <c r="C29" s="60">
        <f aca="true" t="shared" si="0" ref="C29:D31">-B11</f>
        <v>-200</v>
      </c>
      <c r="D29" s="60">
        <f t="shared" si="0"/>
        <v>-200</v>
      </c>
      <c r="E29" s="5"/>
      <c r="F29" s="5"/>
      <c r="G29" s="5"/>
      <c r="H29" s="5"/>
      <c r="I29" s="5"/>
    </row>
    <row r="30" spans="1:9" ht="12.75">
      <c r="A30" s="165" t="str">
        <f>A15</f>
        <v>Outpatient</v>
      </c>
      <c r="B30" s="65" t="str">
        <f>A12</f>
        <v>Death</v>
      </c>
      <c r="C30" s="60">
        <f t="shared" si="0"/>
        <v>433059.82377702504</v>
      </c>
      <c r="D30" s="60">
        <f t="shared" si="0"/>
        <v>282938.7892251098</v>
      </c>
      <c r="E30" s="5"/>
      <c r="F30" s="5"/>
      <c r="G30" s="5"/>
      <c r="H30" s="5"/>
      <c r="I30" s="5"/>
    </row>
    <row r="31" spans="1:9" ht="12.75">
      <c r="A31" s="5"/>
      <c r="B31" s="65" t="str">
        <f>A13</f>
        <v>Disability</v>
      </c>
      <c r="C31" s="60">
        <f t="shared" si="0"/>
        <v>1016196.9696660484</v>
      </c>
      <c r="D31" s="60">
        <f t="shared" si="0"/>
        <v>663930.3034482765</v>
      </c>
      <c r="E31" s="5"/>
      <c r="F31" s="5"/>
      <c r="G31" s="5"/>
      <c r="H31" s="5"/>
      <c r="I31" s="5"/>
    </row>
    <row r="32" spans="1:9" ht="12.75">
      <c r="A32" s="5"/>
      <c r="B32" s="65" t="e">
        <f>#REF!</f>
        <v>#REF!</v>
      </c>
      <c r="C32" s="60" t="e">
        <f>-#REF!</f>
        <v>#REF!</v>
      </c>
      <c r="D32" s="60" t="e">
        <f>-#REF!</f>
        <v>#REF!</v>
      </c>
      <c r="E32" s="5"/>
      <c r="F32" s="5"/>
      <c r="G32" s="5"/>
      <c r="H32" s="5"/>
      <c r="I32" s="5"/>
    </row>
    <row r="33" spans="1:9" ht="12.75">
      <c r="A33" s="5"/>
      <c r="B33" s="65" t="str">
        <f>A15</f>
        <v>Outpatient</v>
      </c>
      <c r="C33" s="60">
        <f>-B15</f>
        <v>24846.96011418805</v>
      </c>
      <c r="D33" s="60">
        <f>-C15</f>
        <v>16233.712814358587</v>
      </c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 t="s">
        <v>120</v>
      </c>
      <c r="B52" s="5"/>
      <c r="C52" s="5"/>
      <c r="D52" s="5"/>
      <c r="E52" s="5"/>
      <c r="F52" s="5"/>
      <c r="G52" s="5"/>
      <c r="H52" s="5"/>
      <c r="I52" s="5"/>
    </row>
  </sheetData>
  <mergeCells count="2">
    <mergeCell ref="E9:F9"/>
    <mergeCell ref="B9:C9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51"/>
  <sheetViews>
    <sheetView workbookViewId="0" topLeftCell="A1">
      <selection activeCell="A6" sqref="A6"/>
    </sheetView>
  </sheetViews>
  <sheetFormatPr defaultColWidth="9.140625" defaultRowHeight="12.75"/>
  <cols>
    <col min="1" max="1" width="15.7109375" style="0" customWidth="1"/>
    <col min="2" max="3" width="11.7109375" style="0" customWidth="1"/>
  </cols>
  <sheetData>
    <row r="1" spans="1:8" ht="12.75">
      <c r="A1" s="149" t="s">
        <v>116</v>
      </c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5"/>
      <c r="B3" s="64" t="s">
        <v>96</v>
      </c>
      <c r="C3" s="64" t="s">
        <v>8</v>
      </c>
      <c r="D3" s="64" t="s">
        <v>97</v>
      </c>
      <c r="E3" s="5"/>
      <c r="F3" s="5"/>
      <c r="G3" s="5"/>
      <c r="H3" s="5"/>
    </row>
    <row r="4" spans="1:8" ht="12.75">
      <c r="A4" s="5" t="s">
        <v>22</v>
      </c>
      <c r="B4" s="70">
        <f>'11Inflation'!E5</f>
        <v>3819840.4636000004</v>
      </c>
      <c r="C4" s="172">
        <f>8Probabilities!D15</f>
        <v>0.019086057371581058</v>
      </c>
      <c r="D4" s="70">
        <f>B4*C4</f>
        <v>72905.69423855639</v>
      </c>
      <c r="E4" s="5"/>
      <c r="F4" s="5"/>
      <c r="G4" s="5"/>
      <c r="H4" s="5"/>
    </row>
    <row r="5" spans="1:8" ht="12.75">
      <c r="A5" s="5" t="s">
        <v>23</v>
      </c>
      <c r="B5" s="70">
        <f>'11Inflation'!E7</f>
        <v>2726680.6959</v>
      </c>
      <c r="C5" s="172">
        <f>8Probabilities!D17</f>
        <v>0.06274182788525684</v>
      </c>
      <c r="D5" s="70">
        <f>B5*C5</f>
        <v>171076.93092021014</v>
      </c>
      <c r="E5" s="5"/>
      <c r="F5" s="5"/>
      <c r="G5" s="5"/>
      <c r="H5" s="5"/>
    </row>
    <row r="6" spans="1:8" ht="12.75">
      <c r="A6" s="5" t="s">
        <v>24</v>
      </c>
      <c r="B6" s="70">
        <f>'11Inflation'!E11</f>
        <v>17039.7899</v>
      </c>
      <c r="C6" s="172">
        <f>8Probabilities!D21</f>
        <v>0.24548365577051368</v>
      </c>
      <c r="D6" s="70">
        <f>B6*C6</f>
        <v>4182.989918213476</v>
      </c>
      <c r="E6" s="5"/>
      <c r="F6" s="5"/>
      <c r="G6" s="5"/>
      <c r="H6" s="5"/>
    </row>
    <row r="7" spans="1:8" ht="12.75">
      <c r="A7" s="5" t="s">
        <v>98</v>
      </c>
      <c r="B7" s="70">
        <v>0</v>
      </c>
      <c r="C7" s="173">
        <f>1-SUM(C4:C6)</f>
        <v>0.6726884589726484</v>
      </c>
      <c r="D7" s="74">
        <f>B7*C7</f>
        <v>0</v>
      </c>
      <c r="E7" s="5"/>
      <c r="F7" s="5"/>
      <c r="G7" s="5"/>
      <c r="H7" s="5"/>
    </row>
    <row r="8" spans="1:8" ht="12.75">
      <c r="A8" s="5"/>
      <c r="B8" s="5"/>
      <c r="C8" s="172">
        <f>SUM(C4:C7)</f>
        <v>1</v>
      </c>
      <c r="D8" s="76">
        <f>SUM(D4:D7)</f>
        <v>248165.61507698</v>
      </c>
      <c r="E8" s="4" t="s">
        <v>99</v>
      </c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2.75">
      <c r="A11" s="5"/>
      <c r="B11" s="5"/>
      <c r="C11" s="20" t="s">
        <v>100</v>
      </c>
      <c r="D11" s="5"/>
      <c r="E11" s="5"/>
      <c r="F11" s="5"/>
      <c r="G11" s="5"/>
      <c r="H11" s="5"/>
    </row>
    <row r="12" spans="1:8" ht="12.75">
      <c r="A12" s="5"/>
      <c r="B12" s="5" t="s">
        <v>3</v>
      </c>
      <c r="C12" s="70">
        <f>D4</f>
        <v>72905.69423855639</v>
      </c>
      <c r="D12" s="5"/>
      <c r="E12" s="5"/>
      <c r="F12" s="5"/>
      <c r="G12" s="5"/>
      <c r="H12" s="5"/>
    </row>
    <row r="13" spans="1:8" ht="12.75">
      <c r="A13" s="5"/>
      <c r="B13" s="5" t="s">
        <v>10</v>
      </c>
      <c r="C13" s="70">
        <f>D5</f>
        <v>171076.93092021014</v>
      </c>
      <c r="D13" s="5"/>
      <c r="E13" s="5"/>
      <c r="F13" s="5"/>
      <c r="G13" s="5"/>
      <c r="H13" s="5"/>
    </row>
    <row r="14" spans="1:8" ht="12.75">
      <c r="A14" s="5"/>
      <c r="B14" s="5" t="s">
        <v>13</v>
      </c>
      <c r="C14" s="70" t="e">
        <f>#REF!</f>
        <v>#REF!</v>
      </c>
      <c r="D14" s="5"/>
      <c r="E14" s="5"/>
      <c r="F14" s="5"/>
      <c r="G14" s="5"/>
      <c r="H14" s="5"/>
    </row>
    <row r="15" spans="1:8" ht="12.75">
      <c r="A15" s="5"/>
      <c r="B15" s="5" t="s">
        <v>11</v>
      </c>
      <c r="C15" s="70">
        <f>D6</f>
        <v>4182.989918213476</v>
      </c>
      <c r="D15" s="5"/>
      <c r="E15" s="5"/>
      <c r="F15" s="5"/>
      <c r="G15" s="5"/>
      <c r="H15" s="5"/>
    </row>
    <row r="16" spans="1:8" ht="12.75">
      <c r="A16" s="5"/>
      <c r="B16" s="5"/>
      <c r="C16" s="70"/>
      <c r="D16" s="5"/>
      <c r="E16" s="5"/>
      <c r="F16" s="5"/>
      <c r="G16" s="5"/>
      <c r="H16" s="5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 t="s">
        <v>120</v>
      </c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51"/>
  <sheetViews>
    <sheetView tabSelected="1" workbookViewId="0" topLeftCell="A1">
      <selection activeCell="H5" sqref="H5"/>
    </sheetView>
  </sheetViews>
  <sheetFormatPr defaultColWidth="9.140625" defaultRowHeight="12.75"/>
  <cols>
    <col min="1" max="1" width="22.7109375" style="0" customWidth="1"/>
    <col min="2" max="2" width="11.7109375" style="0" customWidth="1"/>
    <col min="3" max="3" width="11.7109375" style="0" hidden="1" customWidth="1"/>
    <col min="4" max="4" width="2.7109375" style="0" hidden="1" customWidth="1"/>
    <col min="5" max="6" width="0" style="0" hidden="1" customWidth="1"/>
    <col min="7" max="7" width="7.7109375" style="0" customWidth="1"/>
    <col min="9" max="9" width="4.7109375" style="0" customWidth="1"/>
    <col min="11" max="11" width="8.7109375" style="0" customWidth="1"/>
    <col min="12" max="12" width="6.7109375" style="0" customWidth="1"/>
  </cols>
  <sheetData>
    <row r="1" spans="1:13" ht="12.75">
      <c r="A1" s="281" t="s">
        <v>117</v>
      </c>
      <c r="B1" s="281"/>
      <c r="C1" s="281"/>
      <c r="D1" s="281"/>
      <c r="E1" s="281"/>
      <c r="F1" s="281"/>
      <c r="G1" s="281"/>
      <c r="H1" s="248" t="s">
        <v>230</v>
      </c>
      <c r="I1" s="248"/>
      <c r="J1" s="248"/>
      <c r="K1" s="248"/>
      <c r="L1" s="248"/>
      <c r="M1" s="42"/>
    </row>
    <row r="2" spans="1:13" ht="12.75">
      <c r="A2" s="214" t="s">
        <v>192</v>
      </c>
      <c r="B2" s="235">
        <v>30</v>
      </c>
      <c r="C2" s="5"/>
      <c r="D2" s="5"/>
      <c r="E2" s="5"/>
      <c r="F2" s="5"/>
      <c r="G2" s="5" t="s">
        <v>19</v>
      </c>
      <c r="H2" s="5"/>
      <c r="I2" s="5"/>
      <c r="J2" s="5"/>
      <c r="K2" s="5"/>
      <c r="L2" s="5"/>
      <c r="M2" s="5"/>
    </row>
    <row r="3" spans="1:13" ht="12.75">
      <c r="A3" s="20" t="s">
        <v>25</v>
      </c>
      <c r="B3" s="215"/>
      <c r="C3" s="137">
        <f>Discounting!C2</f>
        <v>0.03</v>
      </c>
      <c r="D3" s="5"/>
      <c r="E3" s="150" t="s">
        <v>55</v>
      </c>
      <c r="F3" s="150" t="s">
        <v>58</v>
      </c>
      <c r="G3" s="5"/>
      <c r="H3" s="274"/>
      <c r="I3" s="274"/>
      <c r="J3" s="274"/>
      <c r="K3" s="274"/>
      <c r="L3" s="274"/>
      <c r="M3" s="5"/>
    </row>
    <row r="4" spans="1:13" ht="12.75">
      <c r="A4" s="5" t="s">
        <v>15</v>
      </c>
      <c r="B4" s="34">
        <f>6InterventionCost!F6</f>
        <v>200</v>
      </c>
      <c r="C4" s="34">
        <f>Discounting!C11</f>
        <v>200</v>
      </c>
      <c r="D4" s="5"/>
      <c r="E4" s="34">
        <f>Discounting!E11</f>
        <v>11000</v>
      </c>
      <c r="F4" s="34">
        <f>Discounting!F11</f>
        <v>11000</v>
      </c>
      <c r="G4" s="5"/>
      <c r="H4" s="5"/>
      <c r="I4" s="5"/>
      <c r="J4" s="5"/>
      <c r="K4" s="5"/>
      <c r="L4" s="5"/>
      <c r="M4" s="5"/>
    </row>
    <row r="5" spans="1:13" ht="12.75">
      <c r="A5" s="5" t="s">
        <v>3</v>
      </c>
      <c r="B5" s="34">
        <f>Discounting!B12</f>
        <v>-433059.82377702504</v>
      </c>
      <c r="C5" s="34">
        <f>Discounting!C12</f>
        <v>-282938.7892251098</v>
      </c>
      <c r="D5" s="5"/>
      <c r="E5" s="8"/>
      <c r="F5" s="8"/>
      <c r="G5" s="5"/>
      <c r="H5" s="5"/>
      <c r="I5" s="5"/>
      <c r="J5" s="5"/>
      <c r="K5" s="5"/>
      <c r="L5" s="5"/>
      <c r="M5" s="5"/>
    </row>
    <row r="6" spans="1:13" ht="12.75">
      <c r="A6" s="5" t="s">
        <v>229</v>
      </c>
      <c r="B6" s="34">
        <f>Discounting!B13</f>
        <v>-1016196.9696660484</v>
      </c>
      <c r="C6" s="34">
        <f>Discounting!C13</f>
        <v>-663930.3034482765</v>
      </c>
      <c r="D6" s="5"/>
      <c r="E6" s="8"/>
      <c r="F6" s="8"/>
      <c r="G6" s="5"/>
      <c r="H6" s="5"/>
      <c r="I6" s="5"/>
      <c r="J6" s="5"/>
      <c r="K6" s="5"/>
      <c r="L6" s="5"/>
      <c r="M6" s="5"/>
    </row>
    <row r="7" spans="1:13" ht="12.75">
      <c r="A7" s="5" t="s">
        <v>156</v>
      </c>
      <c r="B7" s="34">
        <f>Discounting!B14</f>
        <v>-325294.8707842416</v>
      </c>
      <c r="C7" s="34"/>
      <c r="D7" s="5"/>
      <c r="E7" s="8"/>
      <c r="F7" s="8"/>
      <c r="G7" s="5"/>
      <c r="H7" s="5"/>
      <c r="I7" s="5"/>
      <c r="J7" s="5"/>
      <c r="K7" s="5"/>
      <c r="L7" s="5"/>
      <c r="M7" s="5"/>
    </row>
    <row r="8" spans="1:13" ht="13.5" thickBot="1">
      <c r="A8" s="5" t="s">
        <v>228</v>
      </c>
      <c r="B8" s="45">
        <f>Discounting!B15</f>
        <v>-24846.96011418805</v>
      </c>
      <c r="C8" s="45">
        <f>Discounting!C15</f>
        <v>-16233.712814358587</v>
      </c>
      <c r="D8" s="5"/>
      <c r="E8" s="32"/>
      <c r="F8" s="32"/>
      <c r="G8" s="5"/>
      <c r="H8" s="5"/>
      <c r="I8" s="5"/>
      <c r="J8" s="5"/>
      <c r="K8" s="5"/>
      <c r="L8" s="5"/>
      <c r="M8" s="5"/>
    </row>
    <row r="9" spans="1:13" ht="13.5" thickBot="1">
      <c r="A9" s="5" t="s">
        <v>28</v>
      </c>
      <c r="B9" s="210">
        <f>Discounting!B16</f>
        <v>-1799198.6243415033</v>
      </c>
      <c r="C9" s="8">
        <f>Discounting!C16</f>
        <v>-962902.8054877447</v>
      </c>
      <c r="D9" s="5"/>
      <c r="E9" s="8">
        <f>SUM(E4:E8)</f>
        <v>11000</v>
      </c>
      <c r="F9" s="8">
        <f>SUM(F4:F8)</f>
        <v>11000</v>
      </c>
      <c r="G9" s="216" t="s">
        <v>63</v>
      </c>
      <c r="H9" s="5"/>
      <c r="I9" s="5"/>
      <c r="J9" s="5"/>
      <c r="K9" s="5"/>
      <c r="L9" s="5"/>
      <c r="M9" s="5"/>
    </row>
    <row r="10" spans="1:13" ht="13.5" thickTop="1">
      <c r="A10" s="20" t="s">
        <v>27</v>
      </c>
      <c r="D10" s="5"/>
      <c r="G10" s="5"/>
      <c r="H10" s="5"/>
      <c r="I10" s="5"/>
      <c r="J10" s="5"/>
      <c r="K10" s="5"/>
      <c r="L10" s="5"/>
      <c r="M10" s="5"/>
    </row>
    <row r="11" spans="1:13" ht="12.75">
      <c r="A11" s="5" t="str">
        <f>A5</f>
        <v>Death</v>
      </c>
      <c r="B11" s="102">
        <f>Discounting!B19</f>
        <v>0.1133711807871915</v>
      </c>
      <c r="C11" s="102">
        <f>Discounting!C19</f>
        <v>0.07407083932464938</v>
      </c>
      <c r="D11" s="5"/>
      <c r="G11" s="5"/>
      <c r="H11" s="5"/>
      <c r="I11" s="5"/>
      <c r="J11" s="5"/>
      <c r="K11" s="5"/>
      <c r="L11" s="5"/>
      <c r="M11" s="5"/>
    </row>
    <row r="12" spans="1:13" ht="12.75">
      <c r="A12" s="5" t="str">
        <f>A6</f>
        <v>Critical</v>
      </c>
      <c r="B12" s="102">
        <f>Discounting!B20</f>
        <v>0.37268645763842567</v>
      </c>
      <c r="C12" s="102">
        <f>Discounting!C20</f>
        <v>0.24349396848945376</v>
      </c>
      <c r="D12" s="5"/>
      <c r="G12" s="5"/>
      <c r="H12" s="5"/>
      <c r="I12" s="5"/>
      <c r="J12" s="5"/>
      <c r="K12" s="5"/>
      <c r="L12" s="5"/>
      <c r="M12" s="5"/>
    </row>
    <row r="13" spans="1:13" ht="12.75">
      <c r="A13" s="5" t="str">
        <f>A7</f>
        <v>Serious</v>
      </c>
      <c r="B13" s="102">
        <f>Discounting!B21</f>
        <v>0.9123982655103404</v>
      </c>
      <c r="C13" s="102"/>
      <c r="D13" s="5"/>
      <c r="G13" s="5"/>
      <c r="H13" s="5"/>
      <c r="I13" s="5"/>
      <c r="J13" s="5"/>
      <c r="K13" s="5"/>
      <c r="L13" s="5"/>
      <c r="M13" s="5"/>
    </row>
    <row r="14" spans="1:13" ht="13.5" thickBot="1">
      <c r="A14" s="5" t="str">
        <f>A8</f>
        <v>Minor</v>
      </c>
      <c r="B14" s="135">
        <f>Discounting!B22</f>
        <v>1.4581729152768514</v>
      </c>
      <c r="C14" s="135">
        <f>Discounting!C22</f>
        <v>0.9526944234423094</v>
      </c>
      <c r="D14" s="5"/>
      <c r="E14" s="31"/>
      <c r="F14" s="31"/>
      <c r="G14" s="5"/>
      <c r="H14" s="5"/>
      <c r="I14" s="5"/>
      <c r="J14" s="5"/>
      <c r="K14" s="5"/>
      <c r="L14" s="5"/>
      <c r="M14" s="5"/>
    </row>
    <row r="15" spans="1:13" ht="12.75">
      <c r="A15" s="5" t="s">
        <v>86</v>
      </c>
      <c r="B15" s="9">
        <f>SUM(B11:B14)</f>
        <v>2.8566288192128093</v>
      </c>
      <c r="C15" s="9">
        <f>SUM(C11:C14)</f>
        <v>1.2702592312564125</v>
      </c>
      <c r="D15" s="5"/>
      <c r="E15" s="30">
        <f>SUM(E11:E14)</f>
        <v>0</v>
      </c>
      <c r="F15" s="30">
        <f>SUM(F11:F14)</f>
        <v>0</v>
      </c>
      <c r="G15" s="5"/>
      <c r="H15" s="5"/>
      <c r="I15" s="5"/>
      <c r="J15" s="5"/>
      <c r="K15" s="5"/>
      <c r="L15" s="5"/>
      <c r="M15" s="5"/>
    </row>
    <row r="16" spans="1:13" ht="12.75">
      <c r="A16" s="20" t="s">
        <v>74</v>
      </c>
      <c r="B16" s="29">
        <f>B9/B15</f>
        <v>-629832.8338076845</v>
      </c>
      <c r="C16" s="29">
        <f>C9/C15</f>
        <v>-758036.4557046661</v>
      </c>
      <c r="D16" s="5"/>
      <c r="E16" s="29" t="e">
        <f>E9/E15</f>
        <v>#DIV/0!</v>
      </c>
      <c r="F16" s="29" t="e">
        <f>F9/F15</f>
        <v>#DIV/0!</v>
      </c>
      <c r="G16" s="5" t="s">
        <v>193</v>
      </c>
      <c r="H16" s="5"/>
      <c r="I16" s="5"/>
      <c r="J16" s="5"/>
      <c r="K16" s="5"/>
      <c r="L16" s="5"/>
      <c r="M16" s="5"/>
    </row>
    <row r="17" spans="1:13" ht="12.75">
      <c r="A17" s="20"/>
      <c r="B17" s="251"/>
      <c r="C17" s="249"/>
      <c r="D17" s="42"/>
      <c r="E17" s="249" t="s">
        <v>29</v>
      </c>
      <c r="F17" s="249"/>
      <c r="G17" s="42"/>
      <c r="H17" s="42"/>
      <c r="I17" s="42"/>
      <c r="J17" s="276" t="s">
        <v>235</v>
      </c>
      <c r="K17" s="5"/>
      <c r="L17" s="5"/>
      <c r="M17" s="5"/>
    </row>
    <row r="18" spans="1:13" ht="16.5" thickBot="1">
      <c r="A18" s="291" t="s">
        <v>234</v>
      </c>
      <c r="B18" s="291"/>
      <c r="C18" s="291"/>
      <c r="D18" s="291"/>
      <c r="E18" s="291"/>
      <c r="F18" s="291"/>
      <c r="G18" s="291"/>
      <c r="H18" s="291"/>
      <c r="I18" s="291"/>
      <c r="J18" s="257" t="s">
        <v>235</v>
      </c>
      <c r="K18" s="253" t="str">
        <f>IF(J17=J18,"Correct!","Try again!")</f>
        <v>Correct!</v>
      </c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 customHeight="1">
      <c r="A20" s="287" t="s">
        <v>270</v>
      </c>
      <c r="B20" s="287"/>
      <c r="C20" s="287"/>
      <c r="D20" s="287"/>
      <c r="E20" s="287"/>
      <c r="F20" s="287"/>
      <c r="G20" s="287"/>
      <c r="H20" s="287"/>
      <c r="I20" s="287"/>
      <c r="J20" s="275" t="s">
        <v>236</v>
      </c>
      <c r="K20" s="254"/>
      <c r="L20" s="5"/>
      <c r="M20" s="5"/>
    </row>
    <row r="21" spans="1:13" ht="16.5" thickBot="1">
      <c r="A21" s="287"/>
      <c r="B21" s="287"/>
      <c r="C21" s="287"/>
      <c r="D21" s="287"/>
      <c r="E21" s="287"/>
      <c r="F21" s="287"/>
      <c r="G21" s="287"/>
      <c r="H21" s="287"/>
      <c r="I21" s="287"/>
      <c r="J21" s="255" t="s">
        <v>236</v>
      </c>
      <c r="K21" s="253" t="str">
        <f>IF(J20=J21,"Correct!","Try again!")</f>
        <v>Correct!</v>
      </c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 t="s">
        <v>195</v>
      </c>
      <c r="C31" s="5"/>
      <c r="D31" s="5"/>
      <c r="E31" s="5"/>
      <c r="F31" s="5"/>
      <c r="G31" s="5" t="s">
        <v>194</v>
      </c>
      <c r="H31" s="5"/>
      <c r="I31" s="5"/>
      <c r="J31" s="5"/>
      <c r="K31" s="5"/>
      <c r="L31" s="5"/>
      <c r="M31" s="5"/>
    </row>
    <row r="32" spans="1:13" ht="12.75">
      <c r="A32" s="154" t="str">
        <f>A5</f>
        <v>Death</v>
      </c>
      <c r="B32" s="168">
        <f>B11</f>
        <v>0.1133711807871915</v>
      </c>
      <c r="C32" s="5"/>
      <c r="D32" s="5"/>
      <c r="E32" s="5"/>
      <c r="F32" s="5"/>
      <c r="G32" s="169">
        <f>-B5</f>
        <v>433059.82377702504</v>
      </c>
      <c r="H32" s="5"/>
      <c r="I32" s="5"/>
      <c r="J32" s="5"/>
      <c r="K32" s="5"/>
      <c r="L32" s="5"/>
      <c r="M32" s="5"/>
    </row>
    <row r="33" spans="1:13" ht="12.75">
      <c r="A33" s="154" t="str">
        <f>A6</f>
        <v>Critical</v>
      </c>
      <c r="B33" s="168">
        <f>B12</f>
        <v>0.37268645763842567</v>
      </c>
      <c r="C33" s="5"/>
      <c r="D33" s="5"/>
      <c r="E33" s="5"/>
      <c r="F33" s="5"/>
      <c r="G33" s="169">
        <f>-B6</f>
        <v>1016196.9696660484</v>
      </c>
      <c r="H33" s="5"/>
      <c r="I33" s="5"/>
      <c r="J33" s="5"/>
      <c r="K33" s="5"/>
      <c r="L33" s="5"/>
      <c r="M33" s="5"/>
    </row>
    <row r="34" spans="1:13" ht="12.75">
      <c r="A34" s="154" t="str">
        <f>A7</f>
        <v>Serious</v>
      </c>
      <c r="B34" s="168">
        <f>B13</f>
        <v>0.9123982655103404</v>
      </c>
      <c r="C34" s="5"/>
      <c r="D34" s="5"/>
      <c r="E34" s="5"/>
      <c r="F34" s="5"/>
      <c r="G34" s="169">
        <f>-B7</f>
        <v>325294.8707842416</v>
      </c>
      <c r="H34" s="5"/>
      <c r="I34" s="5"/>
      <c r="J34" s="5"/>
      <c r="K34" s="5"/>
      <c r="L34" s="5"/>
      <c r="M34" s="5"/>
    </row>
    <row r="35" spans="1:13" ht="12.75">
      <c r="A35" s="154" t="str">
        <f>A8</f>
        <v>Minor</v>
      </c>
      <c r="B35" s="168">
        <f>B14</f>
        <v>1.4581729152768514</v>
      </c>
      <c r="C35" s="5"/>
      <c r="D35" s="5"/>
      <c r="E35" s="5"/>
      <c r="F35" s="5"/>
      <c r="G35" s="169">
        <f>-B8</f>
        <v>24846.96011418805</v>
      </c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 t="s">
        <v>120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</sheetData>
  <mergeCells count="3">
    <mergeCell ref="A1:G1"/>
    <mergeCell ref="A18:I18"/>
    <mergeCell ref="A20:I21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51"/>
  <sheetViews>
    <sheetView workbookViewId="0" topLeftCell="A1">
      <selection activeCell="A8" sqref="A8"/>
    </sheetView>
  </sheetViews>
  <sheetFormatPr defaultColWidth="9.140625" defaultRowHeight="12.75"/>
  <cols>
    <col min="1" max="1" width="23.7109375" style="0" customWidth="1"/>
    <col min="4" max="4" width="2.7109375" style="0" customWidth="1"/>
  </cols>
  <sheetData>
    <row r="1" spans="1:9" ht="12.75">
      <c r="A1" s="149" t="s">
        <v>118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20"/>
      <c r="B3" s="279" t="s">
        <v>26</v>
      </c>
      <c r="C3" s="279"/>
      <c r="D3" s="5"/>
      <c r="E3" s="279" t="s">
        <v>57</v>
      </c>
      <c r="F3" s="279"/>
      <c r="G3" s="5"/>
      <c r="H3" s="5"/>
      <c r="I3" s="5"/>
    </row>
    <row r="4" spans="1:9" ht="12.75">
      <c r="A4" s="20" t="s">
        <v>25</v>
      </c>
      <c r="B4" s="137">
        <v>0</v>
      </c>
      <c r="C4" s="137">
        <f>Discounting!C2</f>
        <v>0.03</v>
      </c>
      <c r="D4" s="5"/>
      <c r="E4" s="49" t="s">
        <v>55</v>
      </c>
      <c r="F4" s="49" t="s">
        <v>58</v>
      </c>
      <c r="G4" s="5"/>
      <c r="H4" s="5"/>
      <c r="I4" s="5"/>
    </row>
    <row r="5" spans="1:9" ht="12.75">
      <c r="A5" s="5" t="s">
        <v>15</v>
      </c>
      <c r="B5" s="147">
        <f>Discounting!B11</f>
        <v>200</v>
      </c>
      <c r="C5" s="147">
        <f>Discounting!C11</f>
        <v>200</v>
      </c>
      <c r="D5" s="176"/>
      <c r="E5" s="147">
        <f>Discounting!E11</f>
        <v>11000</v>
      </c>
      <c r="F5" s="147">
        <f>Discounting!F11</f>
        <v>11000</v>
      </c>
      <c r="G5" s="5"/>
      <c r="H5" s="5"/>
      <c r="I5" s="5"/>
    </row>
    <row r="6" spans="1:9" ht="12.75">
      <c r="A6" s="5" t="s">
        <v>3</v>
      </c>
      <c r="B6" s="34">
        <f>Discounting!B12</f>
        <v>-433059.82377702504</v>
      </c>
      <c r="C6" s="34">
        <f>Discounting!C12</f>
        <v>-282938.7892251098</v>
      </c>
      <c r="D6" s="5"/>
      <c r="E6" s="8"/>
      <c r="F6" s="8"/>
      <c r="G6" s="5"/>
      <c r="H6" s="5"/>
      <c r="I6" s="5"/>
    </row>
    <row r="7" spans="1:9" ht="12.75">
      <c r="A7" s="5" t="s">
        <v>10</v>
      </c>
      <c r="B7" s="34">
        <f>Discounting!B13</f>
        <v>-1016196.9696660484</v>
      </c>
      <c r="C7" s="34">
        <f>Discounting!C13</f>
        <v>-663930.3034482765</v>
      </c>
      <c r="D7" s="5"/>
      <c r="E7" s="8"/>
      <c r="F7" s="8"/>
      <c r="G7" s="5"/>
      <c r="H7" s="5"/>
      <c r="I7" s="5"/>
    </row>
    <row r="8" spans="1:9" ht="13.5" thickBot="1">
      <c r="A8" s="5" t="s">
        <v>11</v>
      </c>
      <c r="B8" s="45">
        <f>Discounting!B15</f>
        <v>-24846.96011418805</v>
      </c>
      <c r="C8" s="45">
        <f>Discounting!C15</f>
        <v>-16233.712814358587</v>
      </c>
      <c r="D8" s="5"/>
      <c r="E8" s="32"/>
      <c r="F8" s="32"/>
      <c r="G8" s="5"/>
      <c r="H8" s="5"/>
      <c r="I8" s="5"/>
    </row>
    <row r="9" spans="1:9" ht="12.75">
      <c r="A9" s="5" t="s">
        <v>28</v>
      </c>
      <c r="B9" s="70">
        <f>SUM(B5:B8)</f>
        <v>-1473903.7535572615</v>
      </c>
      <c r="C9" s="70">
        <f>Discounting!C16</f>
        <v>-962902.8054877447</v>
      </c>
      <c r="D9" s="5"/>
      <c r="E9" s="70">
        <f>SUM(E5:E8)</f>
        <v>11000</v>
      </c>
      <c r="F9" s="70">
        <f>SUM(F5:F8)</f>
        <v>11000</v>
      </c>
      <c r="G9" s="5"/>
      <c r="H9" s="5"/>
      <c r="I9" s="5"/>
    </row>
    <row r="10" spans="1:9" ht="12.75">
      <c r="A10" s="5"/>
      <c r="B10" s="171"/>
      <c r="C10" s="171"/>
      <c r="D10" s="5"/>
      <c r="E10" s="5"/>
      <c r="F10" s="5"/>
      <c r="G10" s="5"/>
      <c r="H10" s="5"/>
      <c r="I10" s="5"/>
    </row>
    <row r="11" spans="1:9" ht="12.75">
      <c r="A11" s="5"/>
      <c r="B11" s="5"/>
      <c r="C11" s="5"/>
      <c r="D11" s="5"/>
      <c r="E11" s="5"/>
      <c r="F11" s="5"/>
      <c r="G11" s="5"/>
      <c r="H11" s="5"/>
      <c r="I11" s="5"/>
    </row>
    <row r="12" spans="1:9" ht="12.75">
      <c r="A12" s="20" t="s">
        <v>59</v>
      </c>
      <c r="B12" s="51">
        <f>-B5/(SUM(B6:B8)/Discounting!C5)</f>
        <v>0.00407026980666794</v>
      </c>
      <c r="C12" s="33" t="s">
        <v>19</v>
      </c>
      <c r="D12" s="5"/>
      <c r="E12" s="54" t="e">
        <f>-12*E5/(SUM(E6:E8)/Discounting!C5)</f>
        <v>#DIV/0!</v>
      </c>
      <c r="F12" s="53" t="e">
        <f>-12*F5/(SUM(F6:F8)/Discounting!C5)</f>
        <v>#DIV/0!</v>
      </c>
      <c r="G12" s="5"/>
      <c r="H12" s="5"/>
      <c r="I12" s="5"/>
    </row>
    <row r="13" spans="1:9" ht="12.75">
      <c r="A13" s="5"/>
      <c r="B13" s="5"/>
      <c r="C13" s="5"/>
      <c r="D13" s="5"/>
      <c r="E13" s="55" t="s">
        <v>80</v>
      </c>
      <c r="F13" s="56" t="s">
        <v>80</v>
      </c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77"/>
      <c r="C15" s="77"/>
      <c r="D15" s="77"/>
      <c r="E15" s="77"/>
      <c r="F15" s="5"/>
      <c r="G15" s="5"/>
      <c r="H15" s="5"/>
      <c r="I15" s="5"/>
    </row>
    <row r="16" spans="1:9" ht="12.75">
      <c r="A16" s="5"/>
      <c r="B16" s="5"/>
      <c r="C16" s="5"/>
      <c r="D16" s="5"/>
      <c r="E16" s="77"/>
      <c r="F16" s="5"/>
      <c r="G16" s="5"/>
      <c r="H16" s="5"/>
      <c r="I16" s="5"/>
    </row>
    <row r="17" spans="1:9" ht="12.75">
      <c r="A17" s="5"/>
      <c r="B17" s="77"/>
      <c r="C17" s="77"/>
      <c r="D17" s="77"/>
      <c r="E17" s="77"/>
      <c r="F17" s="5"/>
      <c r="G17" s="5"/>
      <c r="H17" s="5"/>
      <c r="I17" s="5"/>
    </row>
    <row r="18" spans="1:9" ht="12.75">
      <c r="A18" s="5"/>
      <c r="B18" s="65" t="s">
        <v>91</v>
      </c>
      <c r="C18" s="177">
        <f>$B$12</f>
        <v>0.00407026980666794</v>
      </c>
      <c r="D18" s="65"/>
      <c r="E18" s="77"/>
      <c r="F18" s="5"/>
      <c r="G18" s="5"/>
      <c r="H18" s="5"/>
      <c r="I18" s="5"/>
    </row>
    <row r="19" spans="1:9" ht="12.75">
      <c r="A19" s="5"/>
      <c r="B19" s="65" t="s">
        <v>84</v>
      </c>
      <c r="C19" s="65"/>
      <c r="D19" s="65" t="e">
        <f>$E$12/12</f>
        <v>#DIV/0!</v>
      </c>
      <c r="E19" s="5"/>
      <c r="F19" s="5"/>
      <c r="G19" s="5"/>
      <c r="H19" s="5"/>
      <c r="I19" s="5"/>
    </row>
    <row r="20" spans="1:9" ht="12.75">
      <c r="A20" s="5"/>
      <c r="B20" s="65" t="s">
        <v>92</v>
      </c>
      <c r="C20" s="65"/>
      <c r="D20" s="65" t="e">
        <f>$F$12/12</f>
        <v>#DIV/0!</v>
      </c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2:9" ht="12.75"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 t="s">
        <v>120</v>
      </c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</sheetData>
  <mergeCells count="2">
    <mergeCell ref="B3:C3"/>
    <mergeCell ref="E3:F3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51"/>
  <sheetViews>
    <sheetView workbookViewId="0" topLeftCell="A5">
      <selection activeCell="B8" sqref="B8"/>
    </sheetView>
  </sheetViews>
  <sheetFormatPr defaultColWidth="9.140625" defaultRowHeight="12.75"/>
  <cols>
    <col min="1" max="1" width="20.7109375" style="0" customWidth="1"/>
    <col min="4" max="4" width="2.7109375" style="0" customWidth="1"/>
  </cols>
  <sheetData>
    <row r="1" spans="1:9" ht="12.75">
      <c r="A1" s="149" t="s">
        <v>119</v>
      </c>
      <c r="B1" s="5"/>
      <c r="C1" s="5"/>
      <c r="D1" s="5"/>
      <c r="E1" s="5"/>
      <c r="F1" s="5"/>
      <c r="G1" s="5"/>
      <c r="H1" s="5"/>
      <c r="I1" s="5"/>
    </row>
    <row r="2" spans="1:9" ht="12.75">
      <c r="A2" s="20"/>
      <c r="B2" s="279" t="s">
        <v>26</v>
      </c>
      <c r="C2" s="279"/>
      <c r="D2" s="5"/>
      <c r="E2" s="279" t="s">
        <v>57</v>
      </c>
      <c r="F2" s="279"/>
      <c r="G2" s="5"/>
      <c r="H2" s="5"/>
      <c r="I2" s="5"/>
    </row>
    <row r="3" spans="1:9" ht="12.75">
      <c r="A3" s="20" t="s">
        <v>25</v>
      </c>
      <c r="B3" s="137">
        <v>0</v>
      </c>
      <c r="C3" s="137">
        <f>Discounting!C2</f>
        <v>0.03</v>
      </c>
      <c r="D3" s="5"/>
      <c r="E3" s="49" t="s">
        <v>55</v>
      </c>
      <c r="F3" s="49" t="s">
        <v>58</v>
      </c>
      <c r="G3" s="5"/>
      <c r="H3" s="5"/>
      <c r="I3" s="5"/>
    </row>
    <row r="4" spans="1:9" ht="12.75">
      <c r="A4" s="5" t="s">
        <v>15</v>
      </c>
      <c r="B4" s="148">
        <f>Discounting!B11</f>
        <v>200</v>
      </c>
      <c r="C4" s="148">
        <f>Discounting!C11</f>
        <v>200</v>
      </c>
      <c r="D4" s="5"/>
      <c r="E4" s="148">
        <f>Discounting!E11</f>
        <v>11000</v>
      </c>
      <c r="F4" s="148">
        <f>Discounting!F11</f>
        <v>11000</v>
      </c>
      <c r="G4" s="5"/>
      <c r="H4" s="5"/>
      <c r="I4" s="5"/>
    </row>
    <row r="5" spans="1:9" ht="12.75">
      <c r="A5" s="5" t="s">
        <v>3</v>
      </c>
      <c r="B5" s="34">
        <f>Discounting!B12</f>
        <v>-433059.82377702504</v>
      </c>
      <c r="C5" s="34">
        <f>Discounting!C12</f>
        <v>-282938.7892251098</v>
      </c>
      <c r="D5" s="5"/>
      <c r="E5" s="8"/>
      <c r="F5" s="8"/>
      <c r="G5" s="5"/>
      <c r="H5" s="5"/>
      <c r="I5" s="5"/>
    </row>
    <row r="6" spans="1:9" ht="12.75">
      <c r="A6" s="5" t="s">
        <v>10</v>
      </c>
      <c r="B6" s="34">
        <f>Discounting!B13</f>
        <v>-1016196.9696660484</v>
      </c>
      <c r="C6" s="34">
        <f>Discounting!C13</f>
        <v>-663930.3034482765</v>
      </c>
      <c r="D6" s="5"/>
      <c r="E6" s="8"/>
      <c r="F6" s="8"/>
      <c r="G6" s="5"/>
      <c r="H6" s="5"/>
      <c r="I6" s="5"/>
    </row>
    <row r="7" spans="1:9" ht="13.5" thickBot="1">
      <c r="A7" s="5" t="s">
        <v>11</v>
      </c>
      <c r="B7" s="45">
        <f>Discounting!B15</f>
        <v>-24846.96011418805</v>
      </c>
      <c r="C7" s="45">
        <f>Discounting!C15</f>
        <v>-16233.712814358587</v>
      </c>
      <c r="D7" s="5"/>
      <c r="E7" s="32"/>
      <c r="F7" s="32"/>
      <c r="G7" s="5"/>
      <c r="H7" s="5"/>
      <c r="I7" s="5"/>
    </row>
    <row r="8" spans="1:9" ht="12.75">
      <c r="A8" s="5" t="s">
        <v>28</v>
      </c>
      <c r="B8" s="8">
        <f>SUM(B4:B7)</f>
        <v>-1473903.7535572615</v>
      </c>
      <c r="C8" s="8">
        <f>Discounting!C16</f>
        <v>-962902.8054877447</v>
      </c>
      <c r="D8" s="5"/>
      <c r="E8" s="8">
        <f>SUM(E4:E7)</f>
        <v>11000</v>
      </c>
      <c r="F8" s="8">
        <f>SUM(F4:F7)</f>
        <v>11000</v>
      </c>
      <c r="G8" s="5"/>
      <c r="H8" s="5"/>
      <c r="I8" s="5"/>
    </row>
    <row r="9" spans="1:9" ht="12.75">
      <c r="A9" s="20"/>
      <c r="B9" s="5"/>
      <c r="C9" s="5"/>
      <c r="D9" s="5"/>
      <c r="E9" s="5"/>
      <c r="F9" s="5"/>
      <c r="G9" s="5"/>
      <c r="H9" s="5"/>
      <c r="I9" s="5"/>
    </row>
    <row r="10" spans="1:9" ht="12.75">
      <c r="A10" s="20" t="s">
        <v>75</v>
      </c>
      <c r="B10" s="5"/>
      <c r="C10" s="5"/>
      <c r="D10" s="5"/>
      <c r="E10" s="5"/>
      <c r="F10" s="5"/>
      <c r="G10" s="5"/>
      <c r="H10" s="5"/>
      <c r="I10" s="5"/>
    </row>
    <row r="11" spans="1:9" ht="12.75">
      <c r="A11" s="5" t="s">
        <v>76</v>
      </c>
      <c r="B11" s="8">
        <f>-SUM(B5:B7)</f>
        <v>1474103.7535572615</v>
      </c>
      <c r="C11" s="8">
        <f>-SUM(C5:C7)</f>
        <v>963102.8054877447</v>
      </c>
      <c r="D11" s="5"/>
      <c r="E11" s="8">
        <f>-SUM(E5:E7)</f>
        <v>0</v>
      </c>
      <c r="F11" s="8">
        <f>-SUM(F5:F7)</f>
        <v>0</v>
      </c>
      <c r="G11" s="5"/>
      <c r="H11" s="5"/>
      <c r="I11" s="5"/>
    </row>
    <row r="12" spans="1:9" ht="13.5" thickBot="1">
      <c r="A12" s="5" t="s">
        <v>53</v>
      </c>
      <c r="B12" s="32">
        <f>B4</f>
        <v>200</v>
      </c>
      <c r="C12" s="32">
        <f>C4</f>
        <v>200</v>
      </c>
      <c r="D12" s="5"/>
      <c r="E12" s="32">
        <f>E4</f>
        <v>11000</v>
      </c>
      <c r="F12" s="32">
        <f>F4</f>
        <v>11000</v>
      </c>
      <c r="G12" s="5"/>
      <c r="H12" s="5"/>
      <c r="I12" s="5"/>
    </row>
    <row r="13" spans="1:9" ht="12.75">
      <c r="A13" s="5" t="s">
        <v>79</v>
      </c>
      <c r="B13" s="193">
        <f>B11/B12</f>
        <v>7370.518767786308</v>
      </c>
      <c r="C13" s="193">
        <f>C11/C12</f>
        <v>4815.514027438724</v>
      </c>
      <c r="D13" s="19"/>
      <c r="E13" s="193">
        <f>E11/E12</f>
        <v>0</v>
      </c>
      <c r="F13" s="193">
        <f>F11/F12</f>
        <v>0</v>
      </c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174">
        <f>B3</f>
        <v>0</v>
      </c>
      <c r="C18" s="174">
        <f>C3</f>
        <v>0.03</v>
      </c>
      <c r="D18" s="5" t="str">
        <f>E3</f>
        <v>Farm</v>
      </c>
      <c r="E18" s="5" t="str">
        <f>F3</f>
        <v>Society</v>
      </c>
      <c r="F18" s="5"/>
      <c r="G18" s="5"/>
      <c r="H18" s="5"/>
      <c r="I18" s="5"/>
    </row>
    <row r="19" spans="1:9" ht="12.75">
      <c r="A19" s="5" t="str">
        <f aca="true" t="shared" si="0" ref="A19:C20">A11</f>
        <v>Benefit </v>
      </c>
      <c r="B19" s="70">
        <f t="shared" si="0"/>
        <v>1474103.7535572615</v>
      </c>
      <c r="C19" s="70">
        <f t="shared" si="0"/>
        <v>963102.8054877447</v>
      </c>
      <c r="D19" s="70">
        <f aca="true" t="shared" si="1" ref="D19:E21">E11</f>
        <v>0</v>
      </c>
      <c r="E19" s="70">
        <f t="shared" si="1"/>
        <v>0</v>
      </c>
      <c r="F19" s="5"/>
      <c r="G19" s="5"/>
      <c r="H19" s="5"/>
      <c r="I19" s="5"/>
    </row>
    <row r="20" spans="1:9" ht="12.75">
      <c r="A20" s="5" t="str">
        <f t="shared" si="0"/>
        <v>Cost</v>
      </c>
      <c r="B20" s="70">
        <f t="shared" si="0"/>
        <v>200</v>
      </c>
      <c r="C20" s="70">
        <f t="shared" si="0"/>
        <v>200</v>
      </c>
      <c r="D20" s="70">
        <f t="shared" si="1"/>
        <v>11000</v>
      </c>
      <c r="E20" s="70">
        <f t="shared" si="1"/>
        <v>11000</v>
      </c>
      <c r="F20" s="5"/>
      <c r="G20" s="5"/>
      <c r="H20" s="5"/>
      <c r="I20" s="5"/>
    </row>
    <row r="21" spans="1:9" ht="12.75">
      <c r="A21" s="5" t="s">
        <v>93</v>
      </c>
      <c r="B21" s="81">
        <f>B13</f>
        <v>7370.518767786308</v>
      </c>
      <c r="C21" s="81">
        <f>C13</f>
        <v>4815.514027438724</v>
      </c>
      <c r="D21" s="81">
        <f t="shared" si="1"/>
        <v>0</v>
      </c>
      <c r="E21" s="81">
        <f t="shared" si="1"/>
        <v>0</v>
      </c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2:9" ht="12.75"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 t="s">
        <v>120</v>
      </c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</sheetData>
  <mergeCells count="2">
    <mergeCell ref="B2:C2"/>
    <mergeCell ref="E2:F2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2"/>
  <sheetViews>
    <sheetView workbookViewId="0" topLeftCell="A1">
      <selection activeCell="D25" sqref="D25"/>
    </sheetView>
  </sheetViews>
  <sheetFormatPr defaultColWidth="9.140625" defaultRowHeight="12.75"/>
  <cols>
    <col min="1" max="1" width="6.7109375" style="0" customWidth="1"/>
    <col min="2" max="2" width="25.7109375" style="0" customWidth="1"/>
    <col min="3" max="3" width="11.7109375" style="0" customWidth="1"/>
    <col min="4" max="4" width="10.7109375" style="0" customWidth="1"/>
    <col min="5" max="5" width="11.28125" style="0" bestFit="1" customWidth="1"/>
    <col min="6" max="6" width="9.7109375" style="0" customWidth="1"/>
  </cols>
  <sheetData>
    <row r="1" spans="1:7" ht="12.75">
      <c r="A1" s="149" t="s">
        <v>137</v>
      </c>
      <c r="B1" s="149"/>
      <c r="C1" s="149"/>
      <c r="D1" s="149"/>
      <c r="E1" s="149"/>
      <c r="F1" s="42"/>
      <c r="G1" s="5"/>
    </row>
    <row r="2" spans="1:7" ht="12.75">
      <c r="A2" s="23" t="s">
        <v>72</v>
      </c>
      <c r="B2" s="23"/>
      <c r="C2" s="23"/>
      <c r="E2" s="280" t="s">
        <v>82</v>
      </c>
      <c r="F2" s="280"/>
      <c r="G2" s="5"/>
    </row>
    <row r="3" spans="1:7" ht="12.75">
      <c r="A3" s="5" t="s">
        <v>54</v>
      </c>
      <c r="B3" s="5"/>
      <c r="C3" s="64" t="s">
        <v>136</v>
      </c>
      <c r="D3" s="86" t="s">
        <v>81</v>
      </c>
      <c r="E3" s="79" t="s">
        <v>68</v>
      </c>
      <c r="F3" s="79" t="s">
        <v>69</v>
      </c>
      <c r="G3" s="79" t="s">
        <v>67</v>
      </c>
    </row>
    <row r="4" spans="1:7" ht="12.75">
      <c r="A4" s="5"/>
      <c r="B4" s="5" t="s">
        <v>127</v>
      </c>
      <c r="C4" s="69">
        <f>E4*F4</f>
        <v>1000</v>
      </c>
      <c r="D4" s="69">
        <f>C4</f>
        <v>1000</v>
      </c>
      <c r="E4" s="44">
        <v>1000</v>
      </c>
      <c r="F4" s="222">
        <v>1</v>
      </c>
      <c r="G4" s="5" t="s">
        <v>104</v>
      </c>
    </row>
    <row r="5" spans="1:7" ht="12.75">
      <c r="A5" s="5"/>
      <c r="B5" s="5" t="s">
        <v>128</v>
      </c>
      <c r="C5" s="69">
        <v>0</v>
      </c>
      <c r="D5" s="69">
        <f>E5*F5</f>
        <v>250</v>
      </c>
      <c r="E5" s="44">
        <v>250</v>
      </c>
      <c r="F5" s="222">
        <v>1</v>
      </c>
      <c r="G5" s="5" t="s">
        <v>104</v>
      </c>
    </row>
    <row r="6" spans="1:7" ht="12.75">
      <c r="A6" s="5"/>
      <c r="B6" s="5" t="s">
        <v>191</v>
      </c>
      <c r="C6" s="69"/>
      <c r="D6" s="221">
        <v>4500</v>
      </c>
      <c r="E6" s="69"/>
      <c r="F6" s="195"/>
      <c r="G6" s="19"/>
    </row>
    <row r="7" spans="1:7" ht="12.75">
      <c r="A7" s="5"/>
      <c r="B7" s="5" t="s">
        <v>129</v>
      </c>
      <c r="C7" s="69">
        <f aca="true" t="shared" si="0" ref="C7:C13">E7*F7</f>
        <v>500</v>
      </c>
      <c r="D7" s="69">
        <f>C7</f>
        <v>500</v>
      </c>
      <c r="E7" s="44">
        <v>500</v>
      </c>
      <c r="F7" s="222">
        <v>1</v>
      </c>
      <c r="G7" s="5" t="s">
        <v>104</v>
      </c>
    </row>
    <row r="8" spans="1:7" ht="12.75">
      <c r="A8" s="5"/>
      <c r="B8" s="5" t="s">
        <v>130</v>
      </c>
      <c r="C8" s="69">
        <f t="shared" si="0"/>
        <v>12000</v>
      </c>
      <c r="D8" s="69">
        <f>E8*F8</f>
        <v>12000</v>
      </c>
      <c r="E8" s="44">
        <v>12000</v>
      </c>
      <c r="F8" s="222">
        <v>1</v>
      </c>
      <c r="G8" s="5" t="s">
        <v>104</v>
      </c>
    </row>
    <row r="9" spans="1:7" ht="12.75">
      <c r="A9" s="5"/>
      <c r="B9" s="5" t="s">
        <v>254</v>
      </c>
      <c r="C9" s="69">
        <f t="shared" si="0"/>
        <v>3000</v>
      </c>
      <c r="D9" s="69">
        <f>E9*F9</f>
        <v>3000</v>
      </c>
      <c r="E9" s="44">
        <v>3000</v>
      </c>
      <c r="F9" s="222">
        <v>1</v>
      </c>
      <c r="G9" s="5" t="s">
        <v>268</v>
      </c>
    </row>
    <row r="10" spans="1:7" ht="12.75">
      <c r="A10" s="5"/>
      <c r="B10" s="5" t="s">
        <v>163</v>
      </c>
      <c r="C10" s="69">
        <f t="shared" si="0"/>
        <v>2700</v>
      </c>
      <c r="D10" s="69">
        <f>E10*F10</f>
        <v>2700</v>
      </c>
      <c r="E10" s="44">
        <v>2700</v>
      </c>
      <c r="F10" s="222">
        <v>1</v>
      </c>
      <c r="G10" s="5" t="s">
        <v>104</v>
      </c>
    </row>
    <row r="11" spans="1:7" ht="12.75">
      <c r="A11" s="5" t="s">
        <v>196</v>
      </c>
      <c r="B11" s="5"/>
      <c r="C11" s="69"/>
      <c r="D11" s="19"/>
      <c r="E11" s="70"/>
      <c r="F11" s="80"/>
      <c r="G11" s="5"/>
    </row>
    <row r="12" spans="1:7" ht="12.75">
      <c r="A12" s="5"/>
      <c r="B12" s="5" t="s">
        <v>185</v>
      </c>
      <c r="C12" s="69">
        <f t="shared" si="0"/>
        <v>1755000</v>
      </c>
      <c r="D12" s="69">
        <f>E12*F12</f>
        <v>1755000</v>
      </c>
      <c r="E12" s="11">
        <v>65000</v>
      </c>
      <c r="F12" s="197">
        <f>65-38</f>
        <v>27</v>
      </c>
      <c r="G12" s="61" t="s">
        <v>105</v>
      </c>
    </row>
    <row r="13" spans="1:7" ht="12.75">
      <c r="A13" s="5"/>
      <c r="B13" s="5" t="s">
        <v>134</v>
      </c>
      <c r="C13" s="69">
        <f t="shared" si="0"/>
        <v>25000</v>
      </c>
      <c r="D13" s="69">
        <f>E13*F13</f>
        <v>25000</v>
      </c>
      <c r="E13" s="11">
        <v>25000</v>
      </c>
      <c r="F13" s="197">
        <v>1</v>
      </c>
      <c r="G13" s="19" t="s">
        <v>104</v>
      </c>
    </row>
    <row r="14" spans="1:7" ht="12.75">
      <c r="A14" s="5"/>
      <c r="B14" s="5" t="s">
        <v>176</v>
      </c>
      <c r="C14" s="69">
        <f>E14*F14</f>
        <v>20000</v>
      </c>
      <c r="D14" s="69">
        <f>C14</f>
        <v>20000</v>
      </c>
      <c r="E14" s="11">
        <v>20000</v>
      </c>
      <c r="F14" s="43">
        <v>1</v>
      </c>
      <c r="G14" s="5" t="s">
        <v>104</v>
      </c>
    </row>
    <row r="15" spans="1:7" ht="12.75">
      <c r="A15" s="5"/>
      <c r="B15" s="5" t="s">
        <v>177</v>
      </c>
      <c r="C15" s="69">
        <f>E15*F15</f>
        <v>25000</v>
      </c>
      <c r="D15" s="69">
        <f>C15</f>
        <v>25000</v>
      </c>
      <c r="E15" s="11">
        <v>25000</v>
      </c>
      <c r="F15" s="43">
        <v>1</v>
      </c>
      <c r="G15" s="5" t="s">
        <v>178</v>
      </c>
    </row>
    <row r="16" spans="1:7" ht="12.75">
      <c r="A16" s="5"/>
      <c r="B16" s="5" t="s">
        <v>168</v>
      </c>
      <c r="C16" s="69">
        <f>E16*F16</f>
        <v>30000</v>
      </c>
      <c r="D16" s="69">
        <f aca="true" t="shared" si="1" ref="D16:D21">E16*F16</f>
        <v>30000</v>
      </c>
      <c r="E16" s="11">
        <v>30000</v>
      </c>
      <c r="F16" s="43">
        <v>1</v>
      </c>
      <c r="G16" s="5" t="s">
        <v>104</v>
      </c>
    </row>
    <row r="17" spans="1:7" ht="12.75">
      <c r="A17" s="5"/>
      <c r="B17" s="5" t="s">
        <v>180</v>
      </c>
      <c r="C17" s="69">
        <v>0</v>
      </c>
      <c r="D17" s="69">
        <f t="shared" si="1"/>
        <v>20000</v>
      </c>
      <c r="E17" s="11">
        <v>2500</v>
      </c>
      <c r="F17" s="43">
        <v>8</v>
      </c>
      <c r="G17" s="5" t="s">
        <v>179</v>
      </c>
    </row>
    <row r="18" spans="1:7" ht="12.75">
      <c r="A18" s="5"/>
      <c r="B18" s="5" t="s">
        <v>181</v>
      </c>
      <c r="C18" s="69">
        <v>0</v>
      </c>
      <c r="D18" s="69">
        <f t="shared" si="1"/>
        <v>15000</v>
      </c>
      <c r="E18" s="11">
        <v>15000</v>
      </c>
      <c r="F18" s="43">
        <v>1</v>
      </c>
      <c r="G18" s="5" t="s">
        <v>182</v>
      </c>
    </row>
    <row r="19" spans="1:7" ht="12.75">
      <c r="A19" s="5"/>
      <c r="B19" s="5" t="s">
        <v>187</v>
      </c>
      <c r="C19" s="69"/>
      <c r="D19" s="69">
        <f t="shared" si="1"/>
        <v>4500</v>
      </c>
      <c r="E19" s="11">
        <v>75</v>
      </c>
      <c r="F19" s="43">
        <v>60</v>
      </c>
      <c r="G19" s="5" t="s">
        <v>170</v>
      </c>
    </row>
    <row r="20" spans="1:7" ht="12.75">
      <c r="A20" s="5"/>
      <c r="B20" s="5" t="s">
        <v>186</v>
      </c>
      <c r="C20" s="69"/>
      <c r="D20" s="69">
        <f t="shared" si="1"/>
        <v>14000</v>
      </c>
      <c r="E20" s="11">
        <v>350</v>
      </c>
      <c r="F20" s="43">
        <v>40</v>
      </c>
      <c r="G20" s="5" t="s">
        <v>170</v>
      </c>
    </row>
    <row r="21" spans="1:7" ht="12.75">
      <c r="A21" s="5"/>
      <c r="B21" s="5" t="s">
        <v>184</v>
      </c>
      <c r="C21" s="207"/>
      <c r="D21" s="208">
        <f t="shared" si="1"/>
        <v>3750</v>
      </c>
      <c r="E21" s="11">
        <v>125</v>
      </c>
      <c r="F21" s="43">
        <v>30</v>
      </c>
      <c r="G21" s="5" t="s">
        <v>183</v>
      </c>
    </row>
    <row r="22" spans="1:7" ht="12.75">
      <c r="A22" s="5" t="s">
        <v>133</v>
      </c>
      <c r="B22" s="5"/>
      <c r="C22" s="211">
        <f>SUM(C4:C21)</f>
        <v>1874200</v>
      </c>
      <c r="D22" s="211">
        <f>SUM(D4:D21)</f>
        <v>1936200</v>
      </c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20" t="s">
        <v>252</v>
      </c>
      <c r="B24" s="5"/>
      <c r="C24" s="5"/>
      <c r="D24" s="5"/>
      <c r="E24" s="5"/>
      <c r="F24" s="5"/>
      <c r="G24" s="5"/>
    </row>
    <row r="25" spans="1:7" ht="16.5" thickBot="1">
      <c r="A25" s="5"/>
      <c r="B25" s="255" t="s">
        <v>251</v>
      </c>
      <c r="C25" s="253" t="str">
        <f>IF(B25=A11,"Correct!","Try again!")</f>
        <v>Correct!</v>
      </c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70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 t="s">
        <v>271</v>
      </c>
      <c r="D32" s="5" t="s">
        <v>81</v>
      </c>
      <c r="E32" s="5"/>
      <c r="F32" s="5"/>
      <c r="G32" s="5"/>
    </row>
    <row r="33" spans="1:7" ht="12.75">
      <c r="A33" s="5"/>
      <c r="B33" s="5" t="s">
        <v>54</v>
      </c>
      <c r="C33" s="70">
        <f>SUM(C4:C10)</f>
        <v>19200</v>
      </c>
      <c r="D33" s="70">
        <f>SUM(D4:D10)</f>
        <v>23950</v>
      </c>
      <c r="E33" s="5"/>
      <c r="F33" s="5"/>
      <c r="G33" s="5"/>
    </row>
    <row r="34" spans="1:7" ht="12.75">
      <c r="A34" s="5"/>
      <c r="B34" s="5" t="s">
        <v>196</v>
      </c>
      <c r="C34" s="70">
        <f>SUM(C12:C21)</f>
        <v>1855000</v>
      </c>
      <c r="D34" s="70">
        <f>SUM(D12:D21)</f>
        <v>1912250</v>
      </c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 t="s">
        <v>120</v>
      </c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</sheetData>
  <mergeCells count="1">
    <mergeCell ref="E2:F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1"/>
  <sheetViews>
    <sheetView workbookViewId="0" topLeftCell="A1">
      <selection activeCell="F18" sqref="F18"/>
    </sheetView>
  </sheetViews>
  <sheetFormatPr defaultColWidth="9.140625" defaultRowHeight="12.75"/>
  <cols>
    <col min="2" max="2" width="24.7109375" style="0" customWidth="1"/>
  </cols>
  <sheetData>
    <row r="1" spans="1:8" ht="12.75">
      <c r="A1" s="149" t="s">
        <v>265</v>
      </c>
      <c r="D1" s="5"/>
      <c r="E1" s="5"/>
      <c r="F1" s="5"/>
      <c r="G1" s="5"/>
      <c r="H1" s="5"/>
    </row>
    <row r="2" spans="1:8" ht="12.75">
      <c r="A2" s="23" t="s">
        <v>217</v>
      </c>
      <c r="B2" s="23"/>
      <c r="C2" s="23"/>
      <c r="D2" s="5"/>
      <c r="E2" s="280" t="s">
        <v>82</v>
      </c>
      <c r="F2" s="280"/>
      <c r="G2" s="5"/>
      <c r="H2" s="5"/>
    </row>
    <row r="3" spans="1:8" ht="12.75">
      <c r="A3" s="5" t="s">
        <v>196</v>
      </c>
      <c r="B3" s="5"/>
      <c r="C3" s="64" t="s">
        <v>136</v>
      </c>
      <c r="D3" s="86" t="s">
        <v>81</v>
      </c>
      <c r="E3" s="79" t="s">
        <v>68</v>
      </c>
      <c r="F3" s="79" t="s">
        <v>69</v>
      </c>
      <c r="G3" s="79" t="s">
        <v>67</v>
      </c>
      <c r="H3" s="5"/>
    </row>
    <row r="4" spans="1:8" ht="12.75">
      <c r="A4" s="5"/>
      <c r="B4" s="5" t="s">
        <v>134</v>
      </c>
      <c r="C4" s="246">
        <f>-1*2SamsDeath!C13</f>
        <v>-25000</v>
      </c>
      <c r="D4" s="270">
        <f>-C4</f>
        <v>25000</v>
      </c>
      <c r="E4" s="79"/>
      <c r="F4" s="79"/>
      <c r="G4" s="79"/>
      <c r="H4" s="5"/>
    </row>
    <row r="5" spans="1:8" ht="12.75">
      <c r="A5" s="5"/>
      <c r="B5" s="5" t="s">
        <v>190</v>
      </c>
      <c r="C5" s="69">
        <f>E5*F5</f>
        <v>1650</v>
      </c>
      <c r="D5" s="69">
        <f aca="true" t="shared" si="0" ref="D5:D11">E5*F5</f>
        <v>1650</v>
      </c>
      <c r="E5" s="11">
        <v>550</v>
      </c>
      <c r="F5" s="43">
        <v>3</v>
      </c>
      <c r="G5" s="19" t="s">
        <v>19</v>
      </c>
      <c r="H5" s="5"/>
    </row>
    <row r="6" spans="1:8" ht="12.75">
      <c r="A6" s="5"/>
      <c r="B6" s="5" t="s">
        <v>173</v>
      </c>
      <c r="C6" s="69">
        <f>E6*F6/2</f>
        <v>4500</v>
      </c>
      <c r="D6" s="69">
        <f t="shared" si="0"/>
        <v>9000</v>
      </c>
      <c r="E6" s="11">
        <v>150</v>
      </c>
      <c r="F6" s="43">
        <f>12*5</f>
        <v>60</v>
      </c>
      <c r="G6" s="5" t="s">
        <v>80</v>
      </c>
      <c r="H6" s="5"/>
    </row>
    <row r="7" spans="1:8" ht="12.75">
      <c r="A7" s="5"/>
      <c r="B7" s="5" t="s">
        <v>189</v>
      </c>
      <c r="C7" s="69">
        <f>E7*F7</f>
        <v>15000</v>
      </c>
      <c r="D7" s="69">
        <f t="shared" si="0"/>
        <v>15000</v>
      </c>
      <c r="E7" s="11">
        <v>1500</v>
      </c>
      <c r="F7" s="197">
        <v>10</v>
      </c>
      <c r="G7" s="5" t="s">
        <v>19</v>
      </c>
      <c r="H7" s="5"/>
    </row>
    <row r="8" spans="1:8" ht="12.75">
      <c r="A8" s="5"/>
      <c r="B8" s="5" t="s">
        <v>171</v>
      </c>
      <c r="C8" s="69">
        <f>-E8*F8</f>
        <v>-200000</v>
      </c>
      <c r="D8" s="69">
        <f t="shared" si="0"/>
        <v>200000</v>
      </c>
      <c r="E8" s="44">
        <v>200000</v>
      </c>
      <c r="F8" s="222">
        <v>1</v>
      </c>
      <c r="G8" s="5" t="s">
        <v>104</v>
      </c>
      <c r="H8" s="5"/>
    </row>
    <row r="9" spans="1:8" ht="12.75">
      <c r="A9" s="5"/>
      <c r="B9" s="5" t="s">
        <v>172</v>
      </c>
      <c r="C9" s="69">
        <f>-E9*F9</f>
        <v>-100000</v>
      </c>
      <c r="D9" s="69">
        <f t="shared" si="0"/>
        <v>100000</v>
      </c>
      <c r="E9" s="44">
        <v>100000</v>
      </c>
      <c r="F9" s="222">
        <v>1</v>
      </c>
      <c r="G9" s="5" t="s">
        <v>104</v>
      </c>
      <c r="H9" s="5"/>
    </row>
    <row r="10" spans="1:8" ht="12.75">
      <c r="A10" s="5"/>
      <c r="B10" s="5" t="s">
        <v>174</v>
      </c>
      <c r="C10" s="69">
        <f>-E10*F10</f>
        <v>-500000</v>
      </c>
      <c r="D10" s="69">
        <f t="shared" si="0"/>
        <v>500000</v>
      </c>
      <c r="E10" s="44">
        <v>500000</v>
      </c>
      <c r="F10" s="222">
        <v>1</v>
      </c>
      <c r="G10" s="5" t="s">
        <v>175</v>
      </c>
      <c r="H10" s="5"/>
    </row>
    <row r="11" spans="1:8" ht="12.75">
      <c r="A11" s="5"/>
      <c r="B11" s="5" t="s">
        <v>219</v>
      </c>
      <c r="C11" s="69">
        <f>-E11*F11</f>
        <v>-52800</v>
      </c>
      <c r="D11" s="69">
        <f t="shared" si="0"/>
        <v>52800</v>
      </c>
      <c r="E11" s="44">
        <v>440</v>
      </c>
      <c r="F11" s="222">
        <f>12*(18-8)</f>
        <v>120</v>
      </c>
      <c r="G11" s="5" t="s">
        <v>80</v>
      </c>
      <c r="H11" s="5"/>
    </row>
    <row r="12" spans="2:8" ht="12.75">
      <c r="B12" s="5" t="s">
        <v>206</v>
      </c>
      <c r="C12" s="74">
        <f>D12/2</f>
        <v>15795</v>
      </c>
      <c r="D12" s="74">
        <f>9*(2SamsDeath!E12-20000)*E12</f>
        <v>31590</v>
      </c>
      <c r="E12" s="204">
        <v>0.078</v>
      </c>
      <c r="F12" s="222">
        <v>9</v>
      </c>
      <c r="G12" s="19" t="s">
        <v>19</v>
      </c>
      <c r="H12" s="5"/>
    </row>
    <row r="13" spans="1:8" ht="12.75">
      <c r="A13" s="5" t="s">
        <v>208</v>
      </c>
      <c r="B13" s="5"/>
      <c r="C13" s="70">
        <f>C5+C6+C7+C12</f>
        <v>36945</v>
      </c>
      <c r="D13" s="5"/>
      <c r="E13" s="5"/>
      <c r="F13" s="5"/>
      <c r="G13" s="5"/>
      <c r="H13" s="5"/>
    </row>
    <row r="14" spans="1:8" ht="12.75">
      <c r="A14" s="5" t="s">
        <v>207</v>
      </c>
      <c r="B14" s="5"/>
      <c r="C14" s="70">
        <f>-SUM(C4:C12)+C13</f>
        <v>877800</v>
      </c>
      <c r="D14" s="5"/>
      <c r="E14" s="5"/>
      <c r="F14" s="5"/>
      <c r="G14" s="5"/>
      <c r="H14" s="5"/>
    </row>
    <row r="15" spans="1:8" ht="15.75">
      <c r="A15" s="5" t="s">
        <v>209</v>
      </c>
      <c r="B15" s="5"/>
      <c r="C15" s="268">
        <f>C14/C13</f>
        <v>23.759642712139666</v>
      </c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165" t="s">
        <v>237</v>
      </c>
      <c r="F16" s="5"/>
      <c r="G16" s="5"/>
      <c r="H16" s="5"/>
    </row>
    <row r="17" spans="1:8" ht="16.5" thickBot="1">
      <c r="A17" s="20" t="s">
        <v>269</v>
      </c>
      <c r="B17" s="5"/>
      <c r="C17" s="5"/>
      <c r="D17" s="5"/>
      <c r="E17" s="255" t="s">
        <v>237</v>
      </c>
      <c r="F17" s="253" t="str">
        <f>IF(E16=E17,"Correct!","Try again!")</f>
        <v>Correct!</v>
      </c>
      <c r="G17" s="5"/>
      <c r="H17" s="5"/>
    </row>
    <row r="18" spans="1:8" ht="12.75">
      <c r="A18" s="20"/>
      <c r="B18" s="5"/>
      <c r="C18" s="5"/>
      <c r="D18" s="19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 t="s">
        <v>210</v>
      </c>
      <c r="D20" s="5"/>
      <c r="E20" s="70">
        <f>C14-C13</f>
        <v>840855</v>
      </c>
      <c r="F20" s="5"/>
      <c r="G20" s="5"/>
      <c r="H20" s="5"/>
    </row>
    <row r="21" spans="1:8" ht="12.75">
      <c r="A21" s="5"/>
      <c r="B21" s="5" t="s">
        <v>212</v>
      </c>
      <c r="C21" s="70">
        <f>-C4</f>
        <v>25000</v>
      </c>
      <c r="D21" s="5"/>
      <c r="E21" s="5"/>
      <c r="F21" s="5"/>
      <c r="G21" s="5"/>
      <c r="H21" s="5"/>
    </row>
    <row r="22" spans="1:8" ht="12.75">
      <c r="A22" s="5"/>
      <c r="B22" t="s">
        <v>213</v>
      </c>
      <c r="C22" s="70">
        <f>-C8</f>
        <v>200000</v>
      </c>
      <c r="D22" s="5"/>
      <c r="E22" s="5"/>
      <c r="F22" s="5"/>
      <c r="G22" s="5"/>
      <c r="H22" s="5"/>
    </row>
    <row r="23" spans="1:8" ht="12.75">
      <c r="A23" s="5"/>
      <c r="B23" s="5" t="s">
        <v>211</v>
      </c>
      <c r="C23" s="70">
        <f>-C9</f>
        <v>100000</v>
      </c>
      <c r="D23" s="5"/>
      <c r="E23" s="5"/>
      <c r="F23" s="5"/>
      <c r="G23" s="5"/>
      <c r="H23" s="5"/>
    </row>
    <row r="24" spans="1:8" ht="12.75">
      <c r="A24" s="5"/>
      <c r="B24" s="5" t="s">
        <v>214</v>
      </c>
      <c r="C24" s="70">
        <f>-C10</f>
        <v>500000</v>
      </c>
      <c r="D24" s="5"/>
      <c r="E24" s="5"/>
      <c r="F24" s="5"/>
      <c r="G24" s="5"/>
      <c r="H24" s="5"/>
    </row>
    <row r="25" spans="1:8" ht="12.75">
      <c r="A25" s="5"/>
      <c r="B25" s="5" t="s">
        <v>215</v>
      </c>
      <c r="C25" s="70">
        <f>-SUM(C11:C11)</f>
        <v>52800</v>
      </c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 t="s">
        <v>120</v>
      </c>
      <c r="B51" s="5"/>
      <c r="C51" s="5"/>
      <c r="D51" s="5"/>
      <c r="E51" s="5"/>
      <c r="F51" s="5"/>
      <c r="G51" s="5"/>
      <c r="H51" s="5"/>
    </row>
  </sheetData>
  <mergeCells count="1">
    <mergeCell ref="E2:F2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51"/>
  <sheetViews>
    <sheetView zoomScale="95" zoomScaleNormal="95" workbookViewId="0" topLeftCell="A1">
      <selection activeCell="H3" sqref="H3"/>
    </sheetView>
  </sheetViews>
  <sheetFormatPr defaultColWidth="9.140625" defaultRowHeight="12.75"/>
  <cols>
    <col min="1" max="1" width="6.7109375" style="0" customWidth="1"/>
    <col min="2" max="2" width="24.7109375" style="0" customWidth="1"/>
    <col min="4" max="4" width="10.7109375" style="0" bestFit="1" customWidth="1"/>
    <col min="5" max="6" width="10.7109375" style="0" customWidth="1"/>
    <col min="7" max="7" width="11.7109375" style="0" customWidth="1"/>
    <col min="8" max="8" width="12.7109375" style="0" bestFit="1" customWidth="1"/>
    <col min="10" max="10" width="10.7109375" style="0" customWidth="1"/>
    <col min="12" max="12" width="10.7109375" style="0" bestFit="1" customWidth="1"/>
  </cols>
  <sheetData>
    <row r="1" spans="1:16" ht="12.75">
      <c r="A1" s="281" t="s">
        <v>264</v>
      </c>
      <c r="B1" s="281"/>
      <c r="C1" s="281"/>
      <c r="D1" s="281"/>
      <c r="E1" s="281"/>
      <c r="F1" s="281"/>
      <c r="G1" s="281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49"/>
      <c r="B2" s="149"/>
      <c r="C2" s="149"/>
      <c r="D2" s="149"/>
      <c r="E2" s="64" t="s">
        <v>233</v>
      </c>
      <c r="F2" s="149"/>
      <c r="G2" s="149"/>
      <c r="H2" s="282" t="s">
        <v>250</v>
      </c>
      <c r="I2" s="282"/>
      <c r="J2" s="282"/>
      <c r="K2" s="282"/>
      <c r="L2" s="282"/>
      <c r="M2" s="282"/>
      <c r="N2" s="5"/>
      <c r="O2" s="5"/>
      <c r="P2" s="5"/>
    </row>
    <row r="3" spans="1:16" ht="16.5" thickBot="1">
      <c r="A3" s="23" t="s">
        <v>85</v>
      </c>
      <c r="B3" s="23"/>
      <c r="C3" s="64" t="s">
        <v>135</v>
      </c>
      <c r="D3" s="64" t="s">
        <v>136</v>
      </c>
      <c r="E3" s="64" t="s">
        <v>188</v>
      </c>
      <c r="F3" s="64" t="s">
        <v>220</v>
      </c>
      <c r="G3" s="64" t="s">
        <v>81</v>
      </c>
      <c r="H3" s="262">
        <v>3813590</v>
      </c>
      <c r="I3" s="266" t="str">
        <f>IF(G39=H3,"Correct!","Try again!")</f>
        <v>Correct!</v>
      </c>
      <c r="J3" s="5"/>
      <c r="K3" s="5"/>
      <c r="L3" s="5"/>
      <c r="M3" s="5"/>
      <c r="N3" s="5"/>
      <c r="O3" s="5"/>
      <c r="P3" s="5"/>
    </row>
    <row r="4" spans="1:16" ht="12.75">
      <c r="A4" s="79" t="s">
        <v>54</v>
      </c>
      <c r="B4" s="5"/>
      <c r="C4" s="19"/>
      <c r="D4" s="19"/>
      <c r="E4" s="19"/>
      <c r="F4" s="19"/>
      <c r="G4" s="19"/>
      <c r="H4" s="196"/>
      <c r="I4" s="196"/>
      <c r="J4" s="5"/>
      <c r="K4" s="5"/>
      <c r="L4" s="5"/>
      <c r="M4" s="5"/>
      <c r="N4" s="5"/>
      <c r="O4" s="5"/>
      <c r="P4" s="5"/>
    </row>
    <row r="5" spans="1:16" ht="12.75">
      <c r="A5" s="5"/>
      <c r="B5" s="5" t="s">
        <v>127</v>
      </c>
      <c r="C5" s="69">
        <f>1JakesDeath!C4</f>
        <v>1000</v>
      </c>
      <c r="D5" s="69">
        <f>2SamsDeath!C4</f>
        <v>1000</v>
      </c>
      <c r="E5" s="69"/>
      <c r="F5" s="69"/>
      <c r="G5" s="69">
        <f>C5+D5</f>
        <v>2000</v>
      </c>
      <c r="H5" s="19"/>
      <c r="I5" s="19"/>
      <c r="J5" s="5"/>
      <c r="K5" s="5"/>
      <c r="L5" s="5"/>
      <c r="M5" s="5"/>
      <c r="N5" s="5"/>
      <c r="O5" s="5"/>
      <c r="P5" s="5"/>
    </row>
    <row r="6" spans="1:16" ht="12.75">
      <c r="A6" s="5"/>
      <c r="B6" s="5" t="s">
        <v>128</v>
      </c>
      <c r="C6" s="69"/>
      <c r="D6" s="19"/>
      <c r="E6" s="19"/>
      <c r="F6" s="69">
        <f>G6</f>
        <v>500</v>
      </c>
      <c r="G6" s="69">
        <f>1JakesDeath!D5+2SamsDeath!D5</f>
        <v>500</v>
      </c>
      <c r="H6" s="19"/>
      <c r="I6" s="19"/>
      <c r="J6" s="5"/>
      <c r="K6" s="5"/>
      <c r="L6" s="5"/>
      <c r="M6" s="5"/>
      <c r="N6" s="5"/>
      <c r="O6" s="5"/>
      <c r="P6" s="5"/>
    </row>
    <row r="7" spans="1:16" ht="12.75">
      <c r="A7" s="5"/>
      <c r="B7" s="5" t="s">
        <v>162</v>
      </c>
      <c r="C7" s="69"/>
      <c r="D7" s="69"/>
      <c r="E7" s="69"/>
      <c r="F7" s="69">
        <f>G7</f>
        <v>4000</v>
      </c>
      <c r="G7" s="69">
        <f>1JakesDeath!D6</f>
        <v>4000</v>
      </c>
      <c r="H7" s="19"/>
      <c r="I7" s="19"/>
      <c r="J7" s="5"/>
      <c r="K7" s="5"/>
      <c r="L7" s="5"/>
      <c r="M7" s="5"/>
      <c r="N7" s="5"/>
      <c r="O7" s="5"/>
      <c r="P7" s="5"/>
    </row>
    <row r="8" spans="1:16" ht="12.75">
      <c r="A8" s="5"/>
      <c r="B8" s="5" t="s">
        <v>191</v>
      </c>
      <c r="C8" s="69"/>
      <c r="D8" s="69"/>
      <c r="E8" s="69"/>
      <c r="F8" s="69">
        <f>G8</f>
        <v>6000</v>
      </c>
      <c r="G8" s="69">
        <f>1JakesDeath!D7+2SamsDeath!D6</f>
        <v>6000</v>
      </c>
      <c r="H8" s="19"/>
      <c r="I8" s="19"/>
      <c r="J8" s="5"/>
      <c r="K8" s="5"/>
      <c r="L8" s="5"/>
      <c r="M8" s="5"/>
      <c r="N8" s="5"/>
      <c r="O8" s="5"/>
      <c r="P8" s="5"/>
    </row>
    <row r="9" spans="1:16" ht="12.75">
      <c r="A9" s="5"/>
      <c r="B9" s="5" t="s">
        <v>130</v>
      </c>
      <c r="C9" s="69">
        <f>1JakesDeath!C9</f>
        <v>10000</v>
      </c>
      <c r="D9" s="69"/>
      <c r="E9" s="69"/>
      <c r="F9" s="69"/>
      <c r="G9" s="69">
        <f>C9+D9</f>
        <v>10000</v>
      </c>
      <c r="H9" s="19"/>
      <c r="I9" s="19"/>
      <c r="J9" s="5"/>
      <c r="K9" s="5"/>
      <c r="L9" s="5"/>
      <c r="M9" s="5"/>
      <c r="N9" s="5"/>
      <c r="O9" s="5"/>
      <c r="P9" s="5"/>
    </row>
    <row r="10" spans="1:16" ht="12.75">
      <c r="A10" s="5"/>
      <c r="B10" s="5" t="s">
        <v>131</v>
      </c>
      <c r="C10" s="69">
        <f>1JakesDeath!C10</f>
        <v>3000</v>
      </c>
      <c r="D10" s="69"/>
      <c r="E10" s="69"/>
      <c r="F10" s="69"/>
      <c r="G10" s="69">
        <f>C10+D10</f>
        <v>3000</v>
      </c>
      <c r="H10" s="19"/>
      <c r="I10" s="19"/>
      <c r="J10" s="5"/>
      <c r="K10" s="5"/>
      <c r="L10" s="5"/>
      <c r="M10" s="5"/>
      <c r="N10" s="5"/>
      <c r="O10" s="5"/>
      <c r="P10" s="5"/>
    </row>
    <row r="11" spans="1:16" ht="12.75">
      <c r="A11" s="5"/>
      <c r="B11" s="5" t="s">
        <v>163</v>
      </c>
      <c r="C11" s="74">
        <f>1JakesDeath!C11</f>
        <v>2000</v>
      </c>
      <c r="D11" s="74"/>
      <c r="E11" s="74"/>
      <c r="F11" s="74"/>
      <c r="G11" s="74">
        <f>C11+D11</f>
        <v>2000</v>
      </c>
      <c r="H11" s="195"/>
      <c r="I11" s="19"/>
      <c r="J11" s="5"/>
      <c r="K11" s="5"/>
      <c r="L11" s="5"/>
      <c r="M11" s="5"/>
      <c r="N11" s="5"/>
      <c r="O11" s="5"/>
      <c r="P11" s="5"/>
    </row>
    <row r="12" spans="1:16" ht="12.75">
      <c r="A12" s="5"/>
      <c r="B12" s="154" t="s">
        <v>56</v>
      </c>
      <c r="C12" s="44">
        <f>SUM(C5:C11)</f>
        <v>16000</v>
      </c>
      <c r="D12" s="44">
        <f>SUM(D5:D11)</f>
        <v>1000</v>
      </c>
      <c r="E12" s="44">
        <f>SUM(E5:E11)</f>
        <v>0</v>
      </c>
      <c r="F12" s="44">
        <f>SUM(F5:F11)</f>
        <v>10500</v>
      </c>
      <c r="G12" s="44">
        <f>SUM(G5:G11)</f>
        <v>27500</v>
      </c>
      <c r="H12" s="194"/>
      <c r="I12" s="19"/>
      <c r="J12" s="5"/>
      <c r="K12" s="5"/>
      <c r="L12" s="5"/>
      <c r="M12" s="5"/>
      <c r="N12" s="5"/>
      <c r="O12" s="5"/>
      <c r="P12" s="5"/>
    </row>
    <row r="13" spans="1:16" ht="12.75">
      <c r="A13" s="79" t="s">
        <v>77</v>
      </c>
      <c r="B13" s="5"/>
      <c r="C13" s="19"/>
      <c r="D13" s="19"/>
      <c r="E13" s="19"/>
      <c r="F13" s="19"/>
      <c r="G13" s="19"/>
      <c r="H13" s="196"/>
      <c r="I13" s="196"/>
      <c r="J13" s="5"/>
      <c r="K13" s="5"/>
      <c r="L13" s="5"/>
      <c r="M13" s="5"/>
      <c r="N13" s="5"/>
      <c r="O13" s="5"/>
      <c r="P13" s="5"/>
    </row>
    <row r="14" spans="1:16" ht="12.75">
      <c r="A14" s="5"/>
      <c r="B14" s="5" t="s">
        <v>126</v>
      </c>
      <c r="C14" s="69">
        <f>1JakesDeath!C13</f>
        <v>900000</v>
      </c>
      <c r="D14" s="69"/>
      <c r="E14" s="69"/>
      <c r="F14" s="69"/>
      <c r="G14" s="69">
        <f aca="true" t="shared" si="0" ref="G14:G21">C14+D14</f>
        <v>900000</v>
      </c>
      <c r="H14" s="195"/>
      <c r="I14" s="19"/>
      <c r="J14" s="5"/>
      <c r="K14" s="5"/>
      <c r="L14" s="5"/>
      <c r="M14" s="5"/>
      <c r="N14" s="5"/>
      <c r="O14" s="5"/>
      <c r="P14" s="5"/>
    </row>
    <row r="15" spans="1:16" ht="12.75">
      <c r="A15" s="5"/>
      <c r="B15" s="5" t="s">
        <v>132</v>
      </c>
      <c r="C15" s="69">
        <f>1JakesDeath!C14</f>
        <v>10000</v>
      </c>
      <c r="D15" s="69"/>
      <c r="E15" s="69"/>
      <c r="F15" s="69"/>
      <c r="G15" s="69">
        <f t="shared" si="0"/>
        <v>10000</v>
      </c>
      <c r="H15" s="195"/>
      <c r="I15" s="19"/>
      <c r="J15" s="5"/>
      <c r="K15" s="5"/>
      <c r="L15" s="5"/>
      <c r="M15" s="5"/>
      <c r="N15" s="5"/>
      <c r="O15" s="5"/>
      <c r="P15" s="5"/>
    </row>
    <row r="16" spans="1:16" ht="12.75">
      <c r="A16" s="5"/>
      <c r="B16" s="5" t="s">
        <v>129</v>
      </c>
      <c r="C16" s="69">
        <f>1JakesDeath!C8</f>
        <v>500</v>
      </c>
      <c r="D16" s="69">
        <f>2SamsDeath!D7</f>
        <v>500</v>
      </c>
      <c r="E16" s="69"/>
      <c r="F16" s="69"/>
      <c r="G16" s="69">
        <f>C16+D16</f>
        <v>1000</v>
      </c>
      <c r="H16" s="195"/>
      <c r="I16" s="19"/>
      <c r="J16" s="5"/>
      <c r="K16" s="5"/>
      <c r="L16" s="5"/>
      <c r="M16" s="5"/>
      <c r="N16" s="5"/>
      <c r="O16" s="5"/>
      <c r="P16" s="5"/>
    </row>
    <row r="17" spans="1:16" ht="12.75">
      <c r="A17" s="5"/>
      <c r="B17" s="5" t="s">
        <v>164</v>
      </c>
      <c r="C17" s="69">
        <f>1JakesDeath!C15</f>
        <v>1500</v>
      </c>
      <c r="D17" s="69"/>
      <c r="E17" s="69"/>
      <c r="F17" s="69"/>
      <c r="G17" s="69">
        <f t="shared" si="0"/>
        <v>1500</v>
      </c>
      <c r="H17" s="195"/>
      <c r="I17" s="19"/>
      <c r="J17" s="5"/>
      <c r="K17" s="5"/>
      <c r="L17" s="5"/>
      <c r="M17" s="5"/>
      <c r="N17" s="5"/>
      <c r="O17" s="5"/>
      <c r="P17" s="5"/>
    </row>
    <row r="18" spans="1:16" ht="12.75">
      <c r="A18" s="5"/>
      <c r="B18" s="5" t="s">
        <v>165</v>
      </c>
      <c r="C18" s="69">
        <f>1JakesDeath!C16</f>
        <v>300</v>
      </c>
      <c r="D18" s="69"/>
      <c r="E18" s="69"/>
      <c r="F18" s="69"/>
      <c r="G18" s="69">
        <f t="shared" si="0"/>
        <v>300</v>
      </c>
      <c r="H18" s="195"/>
      <c r="I18" s="19"/>
      <c r="J18" s="5"/>
      <c r="K18" s="5"/>
      <c r="L18" s="5"/>
      <c r="M18" s="5"/>
      <c r="N18" s="5"/>
      <c r="O18" s="5"/>
      <c r="P18" s="5"/>
    </row>
    <row r="19" spans="1:16" ht="12.75">
      <c r="A19" s="5"/>
      <c r="B19" s="5" t="s">
        <v>167</v>
      </c>
      <c r="C19" s="69">
        <f>1JakesDeath!C17</f>
        <v>10000</v>
      </c>
      <c r="D19" s="69"/>
      <c r="E19" s="69"/>
      <c r="F19" s="69"/>
      <c r="G19" s="69">
        <f t="shared" si="0"/>
        <v>10000</v>
      </c>
      <c r="H19" s="195"/>
      <c r="I19" s="19"/>
      <c r="J19" s="5"/>
      <c r="K19" s="5"/>
      <c r="L19" s="5"/>
      <c r="M19" s="5"/>
      <c r="N19" s="5"/>
      <c r="O19" s="5"/>
      <c r="P19" s="5"/>
    </row>
    <row r="20" spans="1:16" ht="12.75">
      <c r="A20" s="5"/>
      <c r="B20" s="5" t="s">
        <v>169</v>
      </c>
      <c r="C20" s="69">
        <f>1JakesDeath!C18</f>
        <v>20000</v>
      </c>
      <c r="D20" s="69"/>
      <c r="E20" s="69"/>
      <c r="F20" s="69"/>
      <c r="G20" s="69">
        <f t="shared" si="0"/>
        <v>20000</v>
      </c>
      <c r="H20" s="195"/>
      <c r="I20" s="19" t="str">
        <f>C3</f>
        <v>Jake</v>
      </c>
      <c r="J20" s="19" t="str">
        <f>D3</f>
        <v>Sam</v>
      </c>
      <c r="K20" s="19" t="s">
        <v>216</v>
      </c>
      <c r="L20" s="19" t="str">
        <f>F3</f>
        <v>Others</v>
      </c>
      <c r="M20" s="5"/>
      <c r="N20" s="5"/>
      <c r="O20" s="5"/>
      <c r="P20" s="5"/>
    </row>
    <row r="21" spans="1:16" ht="12.75">
      <c r="A21" s="5"/>
      <c r="B21" s="5" t="s">
        <v>78</v>
      </c>
      <c r="C21" s="69">
        <f>1JakesDeath!C19</f>
        <v>5500</v>
      </c>
      <c r="D21" s="69"/>
      <c r="E21" s="69"/>
      <c r="F21" s="69"/>
      <c r="G21" s="69">
        <f t="shared" si="0"/>
        <v>5500</v>
      </c>
      <c r="H21" s="195"/>
      <c r="I21" s="69">
        <f>C39</f>
        <v>983800</v>
      </c>
      <c r="J21" s="69">
        <f>D39</f>
        <v>1868445</v>
      </c>
      <c r="K21" s="69">
        <f>E39</f>
        <v>73045</v>
      </c>
      <c r="L21" s="69">
        <f>F39</f>
        <v>888300</v>
      </c>
      <c r="M21" s="5"/>
      <c r="N21" s="5"/>
      <c r="O21" s="5"/>
      <c r="P21" s="5"/>
    </row>
    <row r="22" spans="1:16" ht="12.75">
      <c r="A22" s="5"/>
      <c r="B22" s="5" t="s">
        <v>185</v>
      </c>
      <c r="C22" s="69"/>
      <c r="D22" s="69">
        <f>2SamsDeath!C12</f>
        <v>1755000</v>
      </c>
      <c r="E22" s="69"/>
      <c r="F22" s="69"/>
      <c r="G22" s="69">
        <f>2SamsDeath!D12</f>
        <v>1755000</v>
      </c>
      <c r="H22" s="195"/>
      <c r="I22" s="19"/>
      <c r="J22" s="5"/>
      <c r="K22" s="5"/>
      <c r="L22" s="5"/>
      <c r="M22" s="5"/>
      <c r="N22" s="5"/>
      <c r="O22" s="5"/>
      <c r="P22" s="5"/>
    </row>
    <row r="23" spans="1:16" ht="12.75">
      <c r="A23" s="5"/>
      <c r="B23" s="5" t="s">
        <v>134</v>
      </c>
      <c r="C23" s="19"/>
      <c r="D23" s="69"/>
      <c r="E23" s="69"/>
      <c r="F23" s="69">
        <f>G23</f>
        <v>25000</v>
      </c>
      <c r="G23" s="69">
        <f>2SamsDeath!D13</f>
        <v>25000</v>
      </c>
      <c r="H23" s="195"/>
      <c r="I23" s="19"/>
      <c r="J23" s="5"/>
      <c r="K23" s="5"/>
      <c r="L23" s="5"/>
      <c r="M23" s="5"/>
      <c r="N23" s="5"/>
      <c r="O23" s="5"/>
      <c r="P23" s="5"/>
    </row>
    <row r="24" spans="1:16" ht="12.75">
      <c r="A24" s="5"/>
      <c r="B24" s="5" t="s">
        <v>190</v>
      </c>
      <c r="C24" s="19"/>
      <c r="D24" s="69">
        <f>3Insurance!C5</f>
        <v>1650</v>
      </c>
      <c r="E24" s="69"/>
      <c r="F24" s="69"/>
      <c r="G24" s="69">
        <f>3Insurance!D5</f>
        <v>1650</v>
      </c>
      <c r="H24" s="195"/>
      <c r="I24" s="19"/>
      <c r="J24" s="5"/>
      <c r="K24" s="5"/>
      <c r="L24" s="5"/>
      <c r="M24" s="5"/>
      <c r="N24" s="5"/>
      <c r="O24" s="5"/>
      <c r="P24" s="5"/>
    </row>
    <row r="25" spans="1:16" ht="12.75">
      <c r="A25" s="5"/>
      <c r="B25" s="5" t="s">
        <v>173</v>
      </c>
      <c r="C25" s="19"/>
      <c r="D25" s="69">
        <f>3Insurance!C6</f>
        <v>4500</v>
      </c>
      <c r="E25" s="69">
        <f>3Insurance!D6/2</f>
        <v>4500</v>
      </c>
      <c r="F25" s="69"/>
      <c r="G25" s="69">
        <f>3Insurance!D6</f>
        <v>9000</v>
      </c>
      <c r="H25" s="19"/>
      <c r="I25" s="19"/>
      <c r="J25" s="5"/>
      <c r="K25" s="5"/>
      <c r="L25" s="5"/>
      <c r="M25" s="5"/>
      <c r="N25" s="5"/>
      <c r="O25" s="5"/>
      <c r="P25" s="5"/>
    </row>
    <row r="26" spans="1:16" ht="12.75">
      <c r="A26" s="5"/>
      <c r="B26" s="5" t="s">
        <v>189</v>
      </c>
      <c r="C26" s="5"/>
      <c r="D26" s="69">
        <f>3Insurance!C7</f>
        <v>15000</v>
      </c>
      <c r="E26" s="69"/>
      <c r="F26" s="69"/>
      <c r="G26" s="69">
        <f>3Insurance!D7</f>
        <v>15000</v>
      </c>
      <c r="H26" s="19"/>
      <c r="I26" s="19"/>
      <c r="J26" s="5"/>
      <c r="K26" s="5"/>
      <c r="L26" s="5"/>
      <c r="M26" s="5"/>
      <c r="N26" s="5"/>
      <c r="O26" s="5"/>
      <c r="P26" s="5"/>
    </row>
    <row r="27" spans="1:16" ht="12.75">
      <c r="A27" s="5"/>
      <c r="B27" s="5" t="s">
        <v>171</v>
      </c>
      <c r="C27" s="5"/>
      <c r="D27" s="69"/>
      <c r="E27" s="69"/>
      <c r="F27" s="69">
        <f>G27</f>
        <v>200000</v>
      </c>
      <c r="G27" s="69">
        <f>3Insurance!D8</f>
        <v>200000</v>
      </c>
      <c r="H27" s="69"/>
      <c r="I27" s="19"/>
      <c r="J27" s="5"/>
      <c r="K27" s="5"/>
      <c r="L27" s="5"/>
      <c r="M27" s="5"/>
      <c r="N27" s="5"/>
      <c r="O27" s="5"/>
      <c r="P27" s="5"/>
    </row>
    <row r="28" spans="1:16" ht="12.75">
      <c r="A28" s="5"/>
      <c r="B28" s="5" t="s">
        <v>172</v>
      </c>
      <c r="C28" s="65"/>
      <c r="D28" s="69"/>
      <c r="E28" s="69"/>
      <c r="F28" s="69">
        <f>G28</f>
        <v>100000</v>
      </c>
      <c r="G28" s="69">
        <f>3Insurance!D9</f>
        <v>100000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65"/>
      <c r="B29" s="5" t="s">
        <v>174</v>
      </c>
      <c r="C29" s="65"/>
      <c r="D29" s="69"/>
      <c r="E29" s="69"/>
      <c r="F29" s="69">
        <f>G29</f>
        <v>500000</v>
      </c>
      <c r="G29" s="69">
        <f>3Insurance!D10</f>
        <v>500000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65"/>
      <c r="B30" s="5" t="s">
        <v>221</v>
      </c>
      <c r="C30" s="60"/>
      <c r="D30" s="69"/>
      <c r="E30" s="69"/>
      <c r="F30" s="69">
        <f>G30</f>
        <v>52800</v>
      </c>
      <c r="G30" s="69">
        <f>3Insurance!D11</f>
        <v>52800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65"/>
      <c r="B31" s="5" t="s">
        <v>206</v>
      </c>
      <c r="C31" s="65"/>
      <c r="D31" s="69">
        <f>3Insurance!C12</f>
        <v>15795</v>
      </c>
      <c r="E31" s="69">
        <f>D31</f>
        <v>15795</v>
      </c>
      <c r="F31" s="69"/>
      <c r="G31" s="69">
        <f>3Insurance!D12</f>
        <v>31590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/>
      <c r="B32" s="5" t="s">
        <v>176</v>
      </c>
      <c r="C32" s="69"/>
      <c r="D32" s="69">
        <f>2SamsDeath!C14</f>
        <v>20000</v>
      </c>
      <c r="E32" s="69"/>
      <c r="F32" s="69"/>
      <c r="G32" s="69">
        <f>2SamsDeath!D14</f>
        <v>20000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5"/>
      <c r="B33" s="5" t="s">
        <v>177</v>
      </c>
      <c r="C33" s="69"/>
      <c r="D33" s="69">
        <f>2SamsDeath!C15</f>
        <v>25000</v>
      </c>
      <c r="E33" s="69"/>
      <c r="F33" s="69"/>
      <c r="G33" s="69">
        <f>2SamsDeath!D15</f>
        <v>25000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5"/>
      <c r="B34" s="5" t="s">
        <v>168</v>
      </c>
      <c r="C34" s="69">
        <f>1JakesDeath!C18</f>
        <v>20000</v>
      </c>
      <c r="D34" s="69">
        <f>2SamsDeath!C16</f>
        <v>30000</v>
      </c>
      <c r="E34" s="69">
        <f>2SamsDeath!D20</f>
        <v>14000</v>
      </c>
      <c r="F34" s="69"/>
      <c r="G34" s="69">
        <f>C34+D34+E34</f>
        <v>64000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5"/>
      <c r="B35" s="5" t="s">
        <v>180</v>
      </c>
      <c r="C35" s="5"/>
      <c r="D35" s="69"/>
      <c r="E35" s="69">
        <f>2SamsDeath!D17</f>
        <v>20000</v>
      </c>
      <c r="F35" s="69"/>
      <c r="G35" s="69">
        <f>2SamsDeath!D17</f>
        <v>20000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5" t="s">
        <v>181</v>
      </c>
      <c r="C36" s="5"/>
      <c r="D36" s="69"/>
      <c r="E36" s="69">
        <f>2SamsDeath!D18</f>
        <v>15000</v>
      </c>
      <c r="F36" s="69"/>
      <c r="G36" s="69">
        <f>2SamsDeath!D18</f>
        <v>15000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 t="s">
        <v>222</v>
      </c>
      <c r="C37" s="68"/>
      <c r="D37" s="74"/>
      <c r="E37" s="74">
        <f>2SamsDeath!D21</f>
        <v>3750</v>
      </c>
      <c r="F37" s="74"/>
      <c r="G37" s="74">
        <f>2SamsDeath!D21</f>
        <v>3750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3.5" thickBot="1">
      <c r="A38" s="5"/>
      <c r="B38" s="154" t="s">
        <v>56</v>
      </c>
      <c r="C38" s="50">
        <f>SUM(C14:C37)</f>
        <v>967800</v>
      </c>
      <c r="D38" s="50">
        <f>SUM(D14:D37)</f>
        <v>1867445</v>
      </c>
      <c r="E38" s="50">
        <f>SUM(E14:E37)</f>
        <v>73045</v>
      </c>
      <c r="F38" s="50">
        <f>SUM(F14:F37)</f>
        <v>877800</v>
      </c>
      <c r="G38" s="50">
        <f>SUM(G14:G37)</f>
        <v>3786090</v>
      </c>
      <c r="H38" s="70"/>
      <c r="I38" s="70"/>
      <c r="J38" s="5"/>
      <c r="K38" s="5"/>
      <c r="L38" s="5"/>
      <c r="M38" s="5"/>
      <c r="N38" s="5"/>
      <c r="O38" s="5"/>
      <c r="P38" s="5"/>
    </row>
    <row r="39" spans="1:16" ht="13.5" thickTop="1">
      <c r="A39" s="78" t="s">
        <v>61</v>
      </c>
      <c r="B39" s="5"/>
      <c r="C39" s="237">
        <f>C12+C38</f>
        <v>983800</v>
      </c>
      <c r="D39" s="267">
        <f>D12+D38</f>
        <v>1868445</v>
      </c>
      <c r="E39" s="236">
        <f>E12+E38</f>
        <v>73045</v>
      </c>
      <c r="F39" s="238">
        <f>F12+F38</f>
        <v>888300</v>
      </c>
      <c r="G39" s="75">
        <f>G12+G38</f>
        <v>3813590</v>
      </c>
      <c r="H39" s="70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5" t="s">
        <v>120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2">
    <mergeCell ref="A1:G1"/>
    <mergeCell ref="H2:M2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zoomScale="95" zoomScaleNormal="95" workbookViewId="0" topLeftCell="A1">
      <selection activeCell="I1" sqref="I1"/>
    </sheetView>
  </sheetViews>
  <sheetFormatPr defaultColWidth="9.140625" defaultRowHeight="12.75"/>
  <cols>
    <col min="1" max="1" width="4.7109375" style="0" customWidth="1"/>
    <col min="4" max="4" width="4.7109375" style="0" customWidth="1"/>
    <col min="5" max="5" width="0" style="0" hidden="1" customWidth="1"/>
    <col min="9" max="9" width="6.7109375" style="0" customWidth="1"/>
    <col min="11" max="11" width="14.7109375" style="0" customWidth="1"/>
  </cols>
  <sheetData>
    <row r="1" spans="1:11" ht="12.75">
      <c r="A1" s="149" t="s">
        <v>248</v>
      </c>
      <c r="B1" s="149"/>
      <c r="C1" s="149"/>
      <c r="D1" s="149"/>
      <c r="E1" s="149"/>
      <c r="F1" s="149"/>
      <c r="G1" s="42"/>
      <c r="H1" s="5"/>
      <c r="I1" s="178"/>
      <c r="J1" s="178"/>
      <c r="K1" s="178"/>
    </row>
    <row r="2" spans="1:11" ht="12.75">
      <c r="A2" s="285" t="s">
        <v>146</v>
      </c>
      <c r="B2" s="285"/>
      <c r="C2" s="285"/>
      <c r="D2" s="285"/>
      <c r="E2" s="285"/>
      <c r="F2" s="285"/>
      <c r="G2" s="285"/>
      <c r="H2" s="285"/>
      <c r="I2" s="286"/>
      <c r="J2" s="198">
        <v>0.264</v>
      </c>
      <c r="K2" s="178"/>
    </row>
    <row r="3" spans="1:11" ht="12.75">
      <c r="A3" s="149" t="str">
        <f>IF(J2&gt;0,"This answer is a high risk number because it assumes full-time tractor driving on the road.","   ")</f>
        <v>This answer is a high risk number because it assumes full-time tractor driving on the road.</v>
      </c>
      <c r="C3" s="149"/>
      <c r="D3" s="149"/>
      <c r="E3" s="58"/>
      <c r="F3" s="59"/>
      <c r="G3" s="5"/>
      <c r="H3" s="5"/>
      <c r="I3" s="5"/>
      <c r="J3" s="265"/>
      <c r="K3" s="178"/>
    </row>
    <row r="4" spans="1:11" ht="12.75">
      <c r="A4" s="287" t="s">
        <v>249</v>
      </c>
      <c r="B4" s="287"/>
      <c r="C4" s="287"/>
      <c r="D4" s="287"/>
      <c r="E4" s="287"/>
      <c r="F4" s="287"/>
      <c r="G4" s="287"/>
      <c r="H4" s="287"/>
      <c r="I4" s="287"/>
      <c r="J4" s="265"/>
      <c r="K4" s="178"/>
    </row>
    <row r="5" spans="1:11" ht="12.75">
      <c r="A5" s="287"/>
      <c r="B5" s="287"/>
      <c r="C5" s="287"/>
      <c r="D5" s="287"/>
      <c r="E5" s="287"/>
      <c r="F5" s="287"/>
      <c r="G5" s="287"/>
      <c r="H5" s="287"/>
      <c r="I5" s="287"/>
      <c r="J5" s="265"/>
      <c r="K5" s="178"/>
    </row>
    <row r="6" spans="1:11" ht="12.75">
      <c r="A6" s="68"/>
      <c r="B6" s="73"/>
      <c r="C6" s="68"/>
      <c r="D6" s="68"/>
      <c r="E6" s="71"/>
      <c r="F6" s="72"/>
      <c r="G6" s="5"/>
      <c r="I6" s="5"/>
      <c r="J6" s="5"/>
      <c r="K6" s="5"/>
    </row>
    <row r="7" spans="1:11" ht="12.75">
      <c r="A7" s="63" t="s">
        <v>272</v>
      </c>
      <c r="B7" s="19"/>
      <c r="C7" s="19"/>
      <c r="D7" s="19"/>
      <c r="E7" s="5"/>
      <c r="F7" s="5"/>
      <c r="G7" s="5"/>
      <c r="H7" s="5"/>
      <c r="I7" s="5"/>
      <c r="J7" s="5"/>
      <c r="K7" s="5"/>
    </row>
    <row r="8" spans="1:11" ht="13.5" thickBot="1">
      <c r="A8" s="5"/>
      <c r="B8" s="23" t="s">
        <v>73</v>
      </c>
      <c r="C8" s="5"/>
      <c r="D8" s="5"/>
      <c r="E8" s="58"/>
      <c r="F8" s="288" t="s">
        <v>147</v>
      </c>
      <c r="G8" s="288"/>
      <c r="H8" s="252"/>
      <c r="I8" s="252"/>
      <c r="J8" s="252"/>
      <c r="K8" s="252"/>
    </row>
    <row r="9" spans="1:11" ht="19.5">
      <c r="A9" s="5"/>
      <c r="B9" s="5"/>
      <c r="C9" s="5"/>
      <c r="D9" s="5"/>
      <c r="E9" s="244" t="b">
        <v>1</v>
      </c>
      <c r="F9" s="283" t="str">
        <f>IF(E9=TRUE,"Correct! The product may have been defective.","")</f>
        <v>Correct! The product may have been defective.</v>
      </c>
      <c r="G9" s="284"/>
      <c r="H9" s="284"/>
      <c r="I9" s="284"/>
      <c r="J9" s="284"/>
      <c r="K9" s="284"/>
    </row>
    <row r="10" spans="1:11" ht="19.5">
      <c r="A10" s="5"/>
      <c r="B10" s="5"/>
      <c r="C10" s="5"/>
      <c r="D10" s="5"/>
      <c r="E10" s="244" t="b">
        <v>1</v>
      </c>
      <c r="F10" s="289" t="str">
        <f>IF(E10=TRUE," She can't sue the government.","")</f>
        <v> She can't sue the government.</v>
      </c>
      <c r="G10" s="290"/>
      <c r="H10" s="290"/>
      <c r="I10" s="290"/>
      <c r="J10" s="290"/>
      <c r="K10" s="290"/>
    </row>
    <row r="11" spans="1:11" ht="19.5">
      <c r="A11" s="5"/>
      <c r="B11" s="5"/>
      <c r="C11" s="5"/>
      <c r="D11" s="5"/>
      <c r="E11" s="244" t="b">
        <v>1</v>
      </c>
      <c r="F11" s="283" t="str">
        <f>IF(E11=TRUE,"Correct! The product may have been defective.","")</f>
        <v>Correct! The product may have been defective.</v>
      </c>
      <c r="G11" s="284"/>
      <c r="H11" s="284"/>
      <c r="I11" s="284"/>
      <c r="J11" s="284"/>
      <c r="K11" s="284"/>
    </row>
    <row r="12" spans="1:11" ht="19.5">
      <c r="A12" s="5"/>
      <c r="B12" s="5"/>
      <c r="C12" s="5"/>
      <c r="D12" s="5"/>
      <c r="E12" s="244" t="b">
        <v>1</v>
      </c>
      <c r="F12" s="289" t="str">
        <f>IF(E12=TRUE,"This was Jake's responsibility.","")</f>
        <v>This was Jake's responsibility.</v>
      </c>
      <c r="G12" s="290"/>
      <c r="H12" s="290"/>
      <c r="I12" s="290"/>
      <c r="J12" s="290"/>
      <c r="K12" s="290"/>
    </row>
    <row r="13" spans="1:11" ht="19.5">
      <c r="A13" s="5"/>
      <c r="B13" s="5"/>
      <c r="C13" s="5"/>
      <c r="D13" s="5"/>
      <c r="E13" s="244" t="b">
        <v>1</v>
      </c>
      <c r="F13" s="283" t="str">
        <f>IF(E13=TRUE,"Correct! Sam could have been negligent.","")</f>
        <v>Correct! Sam could have been negligent.</v>
      </c>
      <c r="G13" s="284"/>
      <c r="H13" s="284"/>
      <c r="I13" s="284"/>
      <c r="J13" s="284"/>
      <c r="K13" s="284"/>
    </row>
    <row r="14" spans="1:11" ht="19.5">
      <c r="A14" s="5"/>
      <c r="B14" s="5"/>
      <c r="C14" s="5"/>
      <c r="D14" s="5"/>
      <c r="E14" s="244" t="b">
        <v>1</v>
      </c>
      <c r="F14" s="289" t="str">
        <f>IF(E14=TRUE,"This was Jake's responsibility.","")</f>
        <v>This was Jake's responsibility.</v>
      </c>
      <c r="G14" s="290"/>
      <c r="H14" s="290"/>
      <c r="I14" s="290"/>
      <c r="J14" s="290"/>
      <c r="K14" s="290"/>
    </row>
    <row r="15" spans="1:11" ht="19.5">
      <c r="A15" s="5"/>
      <c r="B15" s="5"/>
      <c r="C15" s="5"/>
      <c r="D15" s="5"/>
      <c r="E15" s="244" t="b">
        <v>1</v>
      </c>
      <c r="F15" s="289" t="str">
        <f>IF(E15=TRUE,"This was Jake's responsibility.","")</f>
        <v>This was Jake's responsibility.</v>
      </c>
      <c r="G15" s="290"/>
      <c r="H15" s="290"/>
      <c r="I15" s="290"/>
      <c r="J15" s="290"/>
      <c r="K15" s="290"/>
    </row>
    <row r="16" spans="1:11" ht="20.25" thickBot="1">
      <c r="A16" s="5"/>
      <c r="B16" s="5"/>
      <c r="C16" s="5"/>
      <c r="D16" s="5"/>
      <c r="E16" s="245" t="b">
        <v>1</v>
      </c>
      <c r="F16" s="283" t="str">
        <f>IF(E16=TRUE,"Correct! The training omitted rural road safety.","")</f>
        <v>Correct! The training omitted rural road safety.</v>
      </c>
      <c r="G16" s="284"/>
      <c r="H16" s="284"/>
      <c r="I16" s="284"/>
      <c r="J16" s="284"/>
      <c r="K16" s="284"/>
    </row>
    <row r="17" spans="1:11" ht="12.75">
      <c r="A17" s="5"/>
      <c r="B17" s="5"/>
      <c r="C17" s="5"/>
      <c r="D17" s="5"/>
      <c r="E17" s="179"/>
      <c r="F17" s="5"/>
      <c r="G17" s="5"/>
      <c r="H17" s="5"/>
      <c r="I17" s="5"/>
      <c r="J17" s="5"/>
      <c r="K17" s="5"/>
    </row>
    <row r="18" spans="1:11" ht="12.75">
      <c r="A18" s="242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242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242"/>
      <c r="B20" s="5"/>
      <c r="C20" s="5"/>
      <c r="D20" s="5"/>
      <c r="E20" s="65"/>
      <c r="F20" s="84"/>
      <c r="G20" s="5"/>
      <c r="H20" s="5"/>
      <c r="I20" s="5"/>
      <c r="J20" s="5"/>
      <c r="K20" s="5"/>
    </row>
    <row r="21" spans="1:11" ht="12.75">
      <c r="A21" s="242"/>
      <c r="B21" s="5"/>
      <c r="C21" s="5"/>
      <c r="D21" s="5"/>
      <c r="E21" s="65"/>
      <c r="F21" s="84"/>
      <c r="G21" s="5"/>
      <c r="H21" s="5"/>
      <c r="I21" s="5"/>
      <c r="J21" s="5"/>
      <c r="K21" s="5"/>
    </row>
    <row r="22" spans="1:11" ht="12.75">
      <c r="A22" s="242"/>
      <c r="B22" s="5"/>
      <c r="C22" s="5"/>
      <c r="D22" s="5"/>
      <c r="E22" s="65"/>
      <c r="F22" s="84"/>
      <c r="G22" s="5"/>
      <c r="H22" s="5"/>
      <c r="I22" s="5"/>
      <c r="J22" s="5"/>
      <c r="K22" s="5"/>
    </row>
    <row r="23" spans="1:11" ht="12.75">
      <c r="A23" s="242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242"/>
      <c r="C26" s="242"/>
      <c r="D26" s="242"/>
      <c r="E26" s="5"/>
      <c r="F26" s="5"/>
      <c r="G26" s="5"/>
      <c r="H26" s="5"/>
      <c r="I26" s="5"/>
      <c r="J26" s="5"/>
      <c r="K26" s="5"/>
    </row>
    <row r="27" spans="1:11" ht="12.75">
      <c r="A27" s="5"/>
      <c r="B27" s="242" t="str">
        <f>IF(C27=1,"No ROPS or seatbelt","missing parameter")</f>
        <v>No ROPS or seatbelt</v>
      </c>
      <c r="C27" s="243">
        <f>IF(E9=TRUE,1,0)</f>
        <v>1</v>
      </c>
      <c r="D27" s="242"/>
      <c r="E27" s="5"/>
      <c r="F27" s="5"/>
      <c r="G27" s="5"/>
      <c r="H27" s="5"/>
      <c r="I27" s="5"/>
      <c r="J27" s="5"/>
      <c r="K27" s="5"/>
    </row>
    <row r="28" spans="1:11" ht="12.75">
      <c r="A28" s="5"/>
      <c r="B28" s="242" t="str">
        <f>IF(C28=1,"No turn signals","missing parameter")</f>
        <v>No turn signals</v>
      </c>
      <c r="C28" s="243">
        <f>IF(E11=TRUE,1,0)</f>
        <v>1</v>
      </c>
      <c r="D28" s="242"/>
      <c r="E28" s="5"/>
      <c r="F28" s="5"/>
      <c r="G28" s="5"/>
      <c r="H28" s="5"/>
      <c r="I28" s="5"/>
      <c r="J28" s="5"/>
      <c r="K28" s="5"/>
    </row>
    <row r="29" spans="1:11" ht="12.75">
      <c r="A29" s="5"/>
      <c r="B29" s="242" t="str">
        <f>IF(C29=1,"No passing","missing parameter")</f>
        <v>No passing</v>
      </c>
      <c r="C29" s="243">
        <f>IF(E13=TRUE,1,0)</f>
        <v>1</v>
      </c>
      <c r="D29" s="242"/>
      <c r="E29" s="5"/>
      <c r="F29" s="5"/>
      <c r="G29" s="5"/>
      <c r="H29" s="5"/>
      <c r="I29" s="5"/>
      <c r="J29" s="5"/>
      <c r="K29" s="5"/>
    </row>
    <row r="30" spans="1:11" ht="12.75">
      <c r="A30" s="5"/>
      <c r="B30" s="242" t="str">
        <f>IF(C30=1,"Defensive driving class","missing parameter")</f>
        <v>Defensive driving class</v>
      </c>
      <c r="C30" s="243">
        <f>IF(E16=TRUE,1,0)</f>
        <v>1</v>
      </c>
      <c r="D30" s="242"/>
      <c r="E30" s="5"/>
      <c r="F30" s="5"/>
      <c r="G30" s="5"/>
      <c r="H30" s="5"/>
      <c r="I30" s="5"/>
      <c r="J30" s="5"/>
      <c r="K30" s="5"/>
    </row>
    <row r="31" spans="1:11" ht="12.75">
      <c r="A31" s="5"/>
      <c r="B31" s="242"/>
      <c r="C31" s="242"/>
      <c r="D31" s="242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 t="s">
        <v>120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4:11" ht="12.75">
      <c r="D48" s="5"/>
      <c r="E48" s="5"/>
      <c r="F48" s="5"/>
      <c r="G48" s="5"/>
      <c r="H48" s="5"/>
      <c r="I48" s="5"/>
      <c r="J48" s="5"/>
      <c r="K48" s="5"/>
    </row>
  </sheetData>
  <mergeCells count="11">
    <mergeCell ref="F16:K16"/>
    <mergeCell ref="F8:G8"/>
    <mergeCell ref="F15:K15"/>
    <mergeCell ref="F14:K14"/>
    <mergeCell ref="F12:K12"/>
    <mergeCell ref="F13:K13"/>
    <mergeCell ref="F10:K10"/>
    <mergeCell ref="F9:K9"/>
    <mergeCell ref="F11:K11"/>
    <mergeCell ref="A2:I2"/>
    <mergeCell ref="A4:I5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52"/>
  <sheetViews>
    <sheetView workbookViewId="0" topLeftCell="A1">
      <selection activeCell="I1" sqref="I1"/>
    </sheetView>
  </sheetViews>
  <sheetFormatPr defaultColWidth="9.140625" defaultRowHeight="12.75"/>
  <cols>
    <col min="1" max="1" width="4.7109375" style="0" customWidth="1"/>
    <col min="5" max="5" width="2.7109375" style="0" customWidth="1"/>
    <col min="8" max="8" width="9.57421875" style="0" bestFit="1" customWidth="1"/>
    <col min="9" max="9" width="24.7109375" style="0" customWidth="1"/>
  </cols>
  <sheetData>
    <row r="1" spans="1:16" ht="12.75">
      <c r="A1" s="149" t="s">
        <v>247</v>
      </c>
      <c r="B1" s="149"/>
      <c r="C1" s="149"/>
      <c r="D1" s="149"/>
      <c r="E1" s="149"/>
      <c r="F1" s="42"/>
      <c r="G1" s="42"/>
      <c r="H1" s="5"/>
      <c r="I1" s="5"/>
      <c r="J1" s="201"/>
      <c r="K1" s="201"/>
      <c r="L1" s="13"/>
      <c r="M1" s="13"/>
      <c r="N1" s="13"/>
      <c r="O1" s="13"/>
      <c r="P1" s="13"/>
    </row>
    <row r="2" spans="1:16" ht="12.75">
      <c r="A2" s="63" t="s">
        <v>148</v>
      </c>
      <c r="B2" s="19"/>
      <c r="C2" s="19"/>
      <c r="D2" s="19"/>
      <c r="E2" s="5"/>
      <c r="F2" s="5"/>
      <c r="G2" s="5"/>
      <c r="H2" s="5"/>
      <c r="I2" s="5"/>
      <c r="J2" s="201"/>
      <c r="K2" s="201"/>
      <c r="L2" s="13"/>
      <c r="M2" s="13"/>
      <c r="N2" s="13"/>
      <c r="O2" s="13"/>
      <c r="P2" s="13"/>
    </row>
    <row r="3" spans="1:16" ht="12.75">
      <c r="A3" s="5"/>
      <c r="B3" s="23" t="s">
        <v>73</v>
      </c>
      <c r="C3" s="5"/>
      <c r="D3" s="5"/>
      <c r="E3" s="88"/>
      <c r="F3" s="23" t="s">
        <v>70</v>
      </c>
      <c r="G3" s="5"/>
      <c r="H3" s="5"/>
      <c r="I3" s="5"/>
      <c r="J3" s="201"/>
      <c r="K3" s="201"/>
      <c r="L3" s="13"/>
      <c r="M3" s="13"/>
      <c r="N3" s="13"/>
      <c r="O3" s="13"/>
      <c r="P3" s="13"/>
    </row>
    <row r="4" spans="1:16" ht="12.75">
      <c r="A4" s="5"/>
      <c r="B4" s="5" t="s">
        <v>139</v>
      </c>
      <c r="C4" s="5"/>
      <c r="D4" s="5"/>
      <c r="E4" s="20"/>
      <c r="F4" s="11">
        <v>800</v>
      </c>
      <c r="G4" s="200">
        <f>F4/F$12</f>
        <v>0.07272727272727272</v>
      </c>
      <c r="H4" s="5"/>
      <c r="I4" s="5"/>
      <c r="J4" s="201"/>
      <c r="K4" s="201"/>
      <c r="L4" s="13"/>
      <c r="M4" s="13"/>
      <c r="N4" s="13"/>
      <c r="O4" s="13"/>
      <c r="P4" s="13"/>
    </row>
    <row r="5" spans="1:16" ht="12.75">
      <c r="A5" s="5"/>
      <c r="B5" s="5" t="s">
        <v>140</v>
      </c>
      <c r="C5" s="5"/>
      <c r="D5" s="5"/>
      <c r="E5" s="82"/>
      <c r="F5" s="5"/>
      <c r="G5" s="5"/>
      <c r="H5" s="5"/>
      <c r="I5" s="5"/>
      <c r="J5" s="201"/>
      <c r="K5" s="201"/>
      <c r="L5" s="13"/>
      <c r="M5" s="13"/>
      <c r="N5" s="13"/>
      <c r="O5" s="13"/>
      <c r="P5" s="13"/>
    </row>
    <row r="6" spans="1:16" ht="12.75">
      <c r="A6" s="5"/>
      <c r="B6" s="5" t="s">
        <v>141</v>
      </c>
      <c r="C6" s="5"/>
      <c r="D6" s="5"/>
      <c r="E6" s="82"/>
      <c r="F6" s="11">
        <v>200</v>
      </c>
      <c r="G6" s="203">
        <f>F6/F$12</f>
        <v>0.01818181818181818</v>
      </c>
      <c r="H6" s="5"/>
      <c r="I6" s="5"/>
      <c r="J6" s="201"/>
      <c r="K6" s="201"/>
      <c r="L6" s="13"/>
      <c r="M6" s="13"/>
      <c r="N6" s="13"/>
      <c r="O6" s="13"/>
      <c r="P6" s="13"/>
    </row>
    <row r="7" spans="1:16" ht="12.75">
      <c r="A7" s="5"/>
      <c r="B7" s="5" t="s">
        <v>142</v>
      </c>
      <c r="C7" s="5"/>
      <c r="D7" s="5"/>
      <c r="E7" s="82"/>
      <c r="F7" s="5"/>
      <c r="G7" s="5"/>
      <c r="H7" s="5"/>
      <c r="I7" s="5"/>
      <c r="J7" s="201"/>
      <c r="K7" s="201"/>
      <c r="L7" s="13"/>
      <c r="M7" s="13"/>
      <c r="N7" s="13"/>
      <c r="O7" s="13"/>
      <c r="P7" s="13"/>
    </row>
    <row r="8" spans="1:16" ht="12.75">
      <c r="A8" s="5"/>
      <c r="B8" s="5" t="s">
        <v>143</v>
      </c>
      <c r="C8" s="5"/>
      <c r="D8" s="5"/>
      <c r="E8" s="82"/>
      <c r="F8" s="5"/>
      <c r="G8" s="5"/>
      <c r="H8" s="5"/>
      <c r="I8" s="5"/>
      <c r="J8" s="201"/>
      <c r="K8" s="201"/>
      <c r="L8" s="13"/>
      <c r="M8" s="13"/>
      <c r="N8" s="13"/>
      <c r="O8" s="13"/>
      <c r="P8" s="13"/>
    </row>
    <row r="9" spans="1:16" ht="12.75">
      <c r="A9" s="5"/>
      <c r="B9" s="5" t="s">
        <v>144</v>
      </c>
      <c r="C9" s="5"/>
      <c r="D9" s="5"/>
      <c r="E9" s="82"/>
      <c r="F9" s="5"/>
      <c r="G9" s="5"/>
      <c r="H9" s="5"/>
      <c r="I9" s="5"/>
      <c r="J9" s="201"/>
      <c r="K9" s="201"/>
      <c r="L9" s="13"/>
      <c r="M9" s="13"/>
      <c r="N9" s="13"/>
      <c r="O9" s="13"/>
      <c r="P9" s="13"/>
    </row>
    <row r="10" spans="1:16" ht="12.75">
      <c r="A10" s="5"/>
      <c r="B10" s="5" t="s">
        <v>149</v>
      </c>
      <c r="C10" s="5"/>
      <c r="D10" s="5"/>
      <c r="E10" s="82"/>
      <c r="F10" s="5"/>
      <c r="G10" s="5"/>
      <c r="H10" s="5"/>
      <c r="I10" s="5"/>
      <c r="J10" s="201"/>
      <c r="K10" s="201"/>
      <c r="L10" s="13"/>
      <c r="M10" s="13"/>
      <c r="N10" s="13"/>
      <c r="O10" s="13"/>
      <c r="P10" s="13"/>
    </row>
    <row r="11" spans="1:16" ht="12.75">
      <c r="A11" s="5"/>
      <c r="B11" s="5" t="s">
        <v>145</v>
      </c>
      <c r="C11" s="5"/>
      <c r="D11" s="5"/>
      <c r="E11" s="82"/>
      <c r="F11" s="11">
        <v>10000</v>
      </c>
      <c r="G11" s="202">
        <f>F11/F$12</f>
        <v>0.9090909090909091</v>
      </c>
      <c r="H11" s="5"/>
      <c r="I11" s="5"/>
      <c r="J11" s="201"/>
      <c r="K11" s="201"/>
      <c r="L11" s="13"/>
      <c r="M11" s="13"/>
      <c r="N11" s="13"/>
      <c r="O11" s="13"/>
      <c r="P11" s="13"/>
    </row>
    <row r="12" spans="1:16" ht="12.75">
      <c r="A12" s="5"/>
      <c r="B12" s="5"/>
      <c r="C12" s="5"/>
      <c r="D12" s="5"/>
      <c r="E12" s="83" t="s">
        <v>71</v>
      </c>
      <c r="F12" s="44">
        <f>SUM(F4:F11)</f>
        <v>11000</v>
      </c>
      <c r="G12" s="85">
        <f>F12/F$12</f>
        <v>1</v>
      </c>
      <c r="H12" s="5"/>
      <c r="I12" s="5"/>
      <c r="J12" s="201"/>
      <c r="K12" s="201"/>
      <c r="L12" s="13"/>
      <c r="M12" s="13"/>
      <c r="N12" s="13"/>
      <c r="O12" s="13"/>
      <c r="P12" s="13"/>
    </row>
    <row r="13" spans="1:16" ht="12.75">
      <c r="A13" s="5"/>
      <c r="B13" s="5"/>
      <c r="C13" s="5"/>
      <c r="D13" s="5"/>
      <c r="E13" s="5"/>
      <c r="F13" s="5"/>
      <c r="G13" s="5"/>
      <c r="H13" s="5"/>
      <c r="I13" s="5"/>
      <c r="J13" s="201"/>
      <c r="K13" s="201"/>
      <c r="L13" s="13"/>
      <c r="M13" s="13"/>
      <c r="N13" s="13"/>
      <c r="O13" s="13"/>
      <c r="P13" s="13"/>
    </row>
    <row r="14" spans="1:16" ht="15.75">
      <c r="A14" s="291" t="s">
        <v>246</v>
      </c>
      <c r="B14" s="291"/>
      <c r="C14" s="291"/>
      <c r="D14" s="291"/>
      <c r="E14" s="291"/>
      <c r="F14" s="291"/>
      <c r="G14" s="291"/>
      <c r="H14" s="264">
        <v>11000</v>
      </c>
      <c r="I14" s="253" t="str">
        <f>IF(H14=F12,"Correct!","Try again!")</f>
        <v>Correct!</v>
      </c>
      <c r="J14" s="201"/>
      <c r="K14" s="201"/>
      <c r="L14" s="13"/>
      <c r="M14" s="13"/>
      <c r="N14" s="13"/>
      <c r="O14" s="13"/>
      <c r="P14" s="13"/>
    </row>
    <row r="15" spans="1:16" ht="12.75">
      <c r="A15" s="5"/>
      <c r="B15" s="5"/>
      <c r="C15" s="5"/>
      <c r="D15" s="5"/>
      <c r="E15" s="5"/>
      <c r="F15" s="5"/>
      <c r="G15" s="5"/>
      <c r="H15" s="5"/>
      <c r="I15" s="5"/>
      <c r="J15" s="201"/>
      <c r="K15" s="201"/>
      <c r="L15" s="13"/>
      <c r="M15" s="13"/>
      <c r="N15" s="13"/>
      <c r="O15" s="13"/>
      <c r="P15" s="13"/>
    </row>
    <row r="16" spans="1:16" ht="12.75">
      <c r="A16" s="5"/>
      <c r="B16" s="5"/>
      <c r="C16" s="5"/>
      <c r="D16" s="5"/>
      <c r="E16" s="5"/>
      <c r="F16" s="5"/>
      <c r="G16" s="5"/>
      <c r="H16" s="5"/>
      <c r="I16" s="5"/>
      <c r="J16" s="201"/>
      <c r="K16" s="201"/>
      <c r="L16" s="13"/>
      <c r="M16" s="13"/>
      <c r="N16" s="13"/>
      <c r="O16" s="13"/>
      <c r="P16" s="13"/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201"/>
      <c r="K17" s="201"/>
      <c r="L17" s="13"/>
      <c r="M17" s="13"/>
      <c r="N17" s="13"/>
      <c r="O17" s="13"/>
      <c r="P17" s="13"/>
    </row>
    <row r="18" spans="1:16" ht="12.75">
      <c r="A18" s="5"/>
      <c r="B18" s="5"/>
      <c r="C18" s="5"/>
      <c r="D18" s="5"/>
      <c r="E18" s="5"/>
      <c r="F18" s="5"/>
      <c r="G18" s="5"/>
      <c r="H18" s="5"/>
      <c r="I18" s="5"/>
      <c r="J18" s="201"/>
      <c r="K18" s="201"/>
      <c r="L18" s="13"/>
      <c r="M18" s="13"/>
      <c r="N18" s="13"/>
      <c r="O18" s="13"/>
      <c r="P18" s="13"/>
    </row>
    <row r="19" spans="1:16" ht="12.75">
      <c r="A19" s="5"/>
      <c r="B19" s="5"/>
      <c r="C19" s="5"/>
      <c r="D19" s="5"/>
      <c r="E19" s="5"/>
      <c r="F19" s="5"/>
      <c r="G19" s="5"/>
      <c r="H19" s="5"/>
      <c r="I19" s="5"/>
      <c r="J19" s="201"/>
      <c r="K19" s="201"/>
      <c r="L19" s="13"/>
      <c r="M19" s="13"/>
      <c r="N19" s="13"/>
      <c r="O19" s="13"/>
      <c r="P19" s="13"/>
    </row>
    <row r="20" spans="1:16" ht="12.75">
      <c r="A20" s="5"/>
      <c r="B20" s="5"/>
      <c r="C20" s="5"/>
      <c r="D20" s="5"/>
      <c r="E20" s="5"/>
      <c r="F20" s="5"/>
      <c r="G20" s="5"/>
      <c r="H20" s="5"/>
      <c r="I20" s="5"/>
      <c r="J20" s="201"/>
      <c r="K20" s="201"/>
      <c r="L20" s="13"/>
      <c r="M20" s="13"/>
      <c r="N20" s="13"/>
      <c r="O20" s="13"/>
      <c r="P20" s="13"/>
    </row>
    <row r="21" spans="1:16" ht="12.75">
      <c r="A21" s="5"/>
      <c r="B21" s="5"/>
      <c r="C21" s="5"/>
      <c r="D21" s="5"/>
      <c r="E21" s="5"/>
      <c r="F21" s="5"/>
      <c r="G21" s="5"/>
      <c r="H21" s="5"/>
      <c r="I21" s="5"/>
      <c r="J21" s="201"/>
      <c r="K21" s="201"/>
      <c r="L21" s="13"/>
      <c r="M21" s="13"/>
      <c r="N21" s="13"/>
      <c r="O21" s="13"/>
      <c r="P21" s="13"/>
    </row>
    <row r="22" spans="1:16" ht="12.75">
      <c r="A22" s="5"/>
      <c r="B22" s="5"/>
      <c r="C22" s="5"/>
      <c r="D22" s="5"/>
      <c r="E22" s="5"/>
      <c r="F22" s="5"/>
      <c r="G22" s="5"/>
      <c r="H22" s="5"/>
      <c r="I22" s="5"/>
      <c r="J22" s="201"/>
      <c r="K22" s="201"/>
      <c r="L22" s="13"/>
      <c r="M22" s="13"/>
      <c r="N22" s="13"/>
      <c r="O22" s="13"/>
      <c r="P22" s="13"/>
    </row>
    <row r="23" spans="1:16" ht="12.75">
      <c r="A23" s="5"/>
      <c r="B23" s="5"/>
      <c r="C23" s="65"/>
      <c r="D23" s="65"/>
      <c r="E23" s="5"/>
      <c r="F23" s="5"/>
      <c r="G23" s="5"/>
      <c r="H23" s="5"/>
      <c r="I23" s="5"/>
      <c r="J23" s="201"/>
      <c r="K23" s="201"/>
      <c r="L23" s="13"/>
      <c r="M23" s="13"/>
      <c r="N23" s="13"/>
      <c r="O23" s="13"/>
      <c r="P23" s="13"/>
    </row>
    <row r="24" spans="1:16" ht="12.75">
      <c r="A24" s="5"/>
      <c r="B24" s="5"/>
      <c r="C24" s="65"/>
      <c r="D24" s="65" t="s">
        <v>53</v>
      </c>
      <c r="E24" s="5"/>
      <c r="F24" s="5"/>
      <c r="G24" s="5"/>
      <c r="H24" s="5"/>
      <c r="I24" s="5"/>
      <c r="J24" s="201"/>
      <c r="K24" s="201"/>
      <c r="L24" s="13"/>
      <c r="M24" s="13"/>
      <c r="N24" s="13"/>
      <c r="O24" s="13"/>
      <c r="P24" s="13"/>
    </row>
    <row r="25" spans="1:16" ht="12.75">
      <c r="A25" s="5"/>
      <c r="B25" s="5"/>
      <c r="C25" s="65" t="str">
        <f>B4</f>
        <v>no ROPS or seatbelt</v>
      </c>
      <c r="D25" s="60">
        <f>F4</f>
        <v>800</v>
      </c>
      <c r="E25" s="5"/>
      <c r="F25" s="5"/>
      <c r="G25" s="5"/>
      <c r="H25" s="5"/>
      <c r="I25" s="5"/>
      <c r="J25" s="201"/>
      <c r="K25" s="201"/>
      <c r="L25" s="13"/>
      <c r="M25" s="13"/>
      <c r="N25" s="13"/>
      <c r="O25" s="13"/>
      <c r="P25" s="13"/>
    </row>
    <row r="26" spans="1:16" ht="12.75">
      <c r="A26" s="5"/>
      <c r="B26" s="5"/>
      <c r="C26" s="65" t="str">
        <f>B6</f>
        <v>no turn signals</v>
      </c>
      <c r="D26" s="60">
        <f>F6</f>
        <v>200</v>
      </c>
      <c r="E26" s="5"/>
      <c r="F26" s="5"/>
      <c r="G26" s="5"/>
      <c r="H26" s="5"/>
      <c r="I26" s="5"/>
      <c r="J26" s="201"/>
      <c r="K26" s="201"/>
      <c r="L26" s="13"/>
      <c r="M26" s="13"/>
      <c r="N26" s="13"/>
      <c r="O26" s="13"/>
      <c r="P26" s="13"/>
    </row>
    <row r="27" spans="1:16" ht="12.75">
      <c r="A27" s="5"/>
      <c r="B27" s="5"/>
      <c r="C27" s="65" t="str">
        <f>B11</f>
        <v>defensive driving class</v>
      </c>
      <c r="D27" s="60">
        <f>F11</f>
        <v>10000</v>
      </c>
      <c r="E27" s="5"/>
      <c r="F27" s="5"/>
      <c r="G27" s="5"/>
      <c r="H27" s="5"/>
      <c r="I27" s="5"/>
      <c r="J27" s="201"/>
      <c r="K27" s="201"/>
      <c r="L27" s="13"/>
      <c r="M27" s="13"/>
      <c r="N27" s="13"/>
      <c r="O27" s="13"/>
      <c r="P27" s="13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201"/>
      <c r="K28" s="201"/>
      <c r="L28" s="13"/>
      <c r="M28" s="13"/>
      <c r="N28" s="13"/>
      <c r="O28" s="13"/>
      <c r="P28" s="13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201"/>
      <c r="K29" s="201"/>
      <c r="L29" s="13"/>
      <c r="M29" s="13"/>
      <c r="N29" s="13"/>
      <c r="O29" s="13"/>
      <c r="P29" s="13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201"/>
      <c r="K30" s="201"/>
      <c r="L30" s="13"/>
      <c r="M30" s="13"/>
      <c r="N30" s="13"/>
      <c r="O30" s="13"/>
      <c r="P30" s="13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201"/>
      <c r="K31" s="201"/>
      <c r="L31" s="13"/>
      <c r="M31" s="13"/>
      <c r="N31" s="13"/>
      <c r="O31" s="13"/>
      <c r="P31" s="13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201"/>
      <c r="K32" s="201"/>
      <c r="L32" s="13"/>
      <c r="M32" s="13"/>
      <c r="N32" s="13"/>
      <c r="O32" s="13"/>
      <c r="P32" s="13"/>
    </row>
    <row r="33" spans="1:16" ht="12.75">
      <c r="A33" s="5"/>
      <c r="B33" s="5"/>
      <c r="C33" s="5"/>
      <c r="D33" s="5"/>
      <c r="E33" s="5"/>
      <c r="F33" s="5"/>
      <c r="G33" s="5"/>
      <c r="H33" s="5"/>
      <c r="I33" s="5"/>
      <c r="J33" s="201"/>
      <c r="K33" s="201"/>
      <c r="L33" s="13"/>
      <c r="M33" s="13"/>
      <c r="N33" s="13"/>
      <c r="O33" s="13"/>
      <c r="P33" s="13"/>
    </row>
    <row r="34" spans="1:16" ht="12.75">
      <c r="A34" s="5"/>
      <c r="B34" s="5"/>
      <c r="C34" s="5"/>
      <c r="D34" s="5"/>
      <c r="E34" s="5"/>
      <c r="F34" s="5"/>
      <c r="G34" s="5"/>
      <c r="H34" s="5"/>
      <c r="I34" s="5"/>
      <c r="J34" s="201"/>
      <c r="K34" s="201"/>
      <c r="L34" s="13"/>
      <c r="M34" s="13"/>
      <c r="N34" s="13"/>
      <c r="O34" s="13"/>
      <c r="P34" s="13"/>
    </row>
    <row r="35" spans="1:16" ht="12.75">
      <c r="A35" s="5"/>
      <c r="B35" s="5"/>
      <c r="C35" s="5"/>
      <c r="D35" s="5"/>
      <c r="E35" s="5"/>
      <c r="F35" s="5"/>
      <c r="G35" s="5"/>
      <c r="H35" s="5"/>
      <c r="I35" s="5"/>
      <c r="J35" s="201"/>
      <c r="K35" s="201"/>
      <c r="L35" s="13"/>
      <c r="M35" s="13"/>
      <c r="N35" s="13"/>
      <c r="O35" s="13"/>
      <c r="P35" s="13"/>
    </row>
    <row r="36" spans="1:16" ht="12.75">
      <c r="A36" s="5"/>
      <c r="B36" s="5"/>
      <c r="C36" s="5"/>
      <c r="D36" s="5"/>
      <c r="E36" s="5"/>
      <c r="F36" s="5"/>
      <c r="G36" s="5"/>
      <c r="H36" s="5"/>
      <c r="I36" s="5"/>
      <c r="J36" s="201"/>
      <c r="K36" s="201"/>
      <c r="L36" s="13"/>
      <c r="M36" s="13"/>
      <c r="N36" s="13"/>
      <c r="O36" s="13"/>
      <c r="P36" s="13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201"/>
      <c r="K37" s="201"/>
      <c r="L37" s="13"/>
      <c r="M37" s="13"/>
      <c r="N37" s="13"/>
      <c r="O37" s="13"/>
      <c r="P37" s="13"/>
    </row>
    <row r="38" spans="1:16" ht="12.75">
      <c r="A38" s="5"/>
      <c r="B38" s="5"/>
      <c r="C38" s="5"/>
      <c r="D38" s="5"/>
      <c r="E38" s="5"/>
      <c r="F38" s="5"/>
      <c r="G38" s="5"/>
      <c r="H38" s="5"/>
      <c r="I38" s="5"/>
      <c r="J38" s="201"/>
      <c r="K38" s="201"/>
      <c r="L38" s="13"/>
      <c r="M38" s="13"/>
      <c r="N38" s="13"/>
      <c r="O38" s="13"/>
      <c r="P38" s="13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201"/>
      <c r="K39" s="201"/>
      <c r="L39" s="13"/>
      <c r="M39" s="13"/>
      <c r="N39" s="13"/>
      <c r="O39" s="13"/>
      <c r="P39" s="13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201"/>
      <c r="K40" s="201"/>
      <c r="L40" s="13"/>
      <c r="M40" s="13"/>
      <c r="N40" s="13"/>
      <c r="O40" s="13"/>
      <c r="P40" s="13"/>
    </row>
    <row r="41" spans="2:16" ht="12.75">
      <c r="B41" s="5"/>
      <c r="C41" s="5"/>
      <c r="D41" s="5"/>
      <c r="E41" s="5"/>
      <c r="F41" s="5"/>
      <c r="G41" s="5"/>
      <c r="H41" s="5"/>
      <c r="I41" s="5"/>
      <c r="J41" s="201"/>
      <c r="K41" s="201"/>
      <c r="L41" s="13"/>
      <c r="M41" s="13"/>
      <c r="N41" s="13"/>
      <c r="O41" s="13"/>
      <c r="P41" s="13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201"/>
      <c r="K42" s="201"/>
      <c r="L42" s="13"/>
      <c r="M42" s="13"/>
      <c r="N42" s="13"/>
      <c r="O42" s="13"/>
      <c r="P42" s="13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201"/>
      <c r="K43" s="201"/>
      <c r="L43" s="13"/>
      <c r="M43" s="13"/>
      <c r="N43" s="13"/>
      <c r="O43" s="13"/>
      <c r="P43" s="13"/>
    </row>
    <row r="44" spans="1:16" ht="12.75">
      <c r="A44" s="5" t="s">
        <v>120</v>
      </c>
      <c r="B44" s="5"/>
      <c r="C44" s="5"/>
      <c r="D44" s="5"/>
      <c r="E44" s="5"/>
      <c r="F44" s="5"/>
      <c r="G44" s="5"/>
      <c r="H44" s="5"/>
      <c r="I44" s="5"/>
      <c r="J44" s="201"/>
      <c r="K44" s="201"/>
      <c r="L44" s="13"/>
      <c r="M44" s="13"/>
      <c r="N44" s="13"/>
      <c r="O44" s="13"/>
      <c r="P44" s="13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4:9" ht="12.75"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</sheetData>
  <mergeCells count="1">
    <mergeCell ref="A14:G1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51"/>
  <sheetViews>
    <sheetView workbookViewId="0" topLeftCell="A1">
      <selection activeCell="F10" sqref="F10"/>
    </sheetView>
  </sheetViews>
  <sheetFormatPr defaultColWidth="9.140625" defaultRowHeight="12.75"/>
  <cols>
    <col min="1" max="3" width="15.7109375" style="0" customWidth="1"/>
    <col min="4" max="4" width="12.7109375" style="0" customWidth="1"/>
    <col min="5" max="5" width="12.7109375" style="0" bestFit="1" customWidth="1"/>
  </cols>
  <sheetData>
    <row r="1" spans="1:7" ht="12.75">
      <c r="A1" s="149" t="s">
        <v>138</v>
      </c>
      <c r="B1" s="5"/>
      <c r="C1" s="5"/>
      <c r="D1" s="5"/>
      <c r="E1" s="5"/>
      <c r="F1" s="5"/>
      <c r="G1" s="5"/>
    </row>
    <row r="2" spans="1:7" ht="12.75">
      <c r="A2" s="20" t="s">
        <v>198</v>
      </c>
      <c r="B2" s="5"/>
      <c r="C2" s="5"/>
      <c r="D2" s="5"/>
      <c r="E2" s="5"/>
      <c r="F2" s="5"/>
      <c r="G2" s="5"/>
    </row>
    <row r="3" spans="1:7" ht="12.75">
      <c r="A3" s="5"/>
      <c r="B3" s="217" t="s">
        <v>199</v>
      </c>
      <c r="C3" s="217" t="s">
        <v>200</v>
      </c>
      <c r="D3" s="150" t="s">
        <v>71</v>
      </c>
      <c r="E3" s="5"/>
      <c r="F3" s="5"/>
      <c r="G3" s="5"/>
    </row>
    <row r="4" spans="1:7" ht="12.75">
      <c r="A4" s="5" t="s">
        <v>203</v>
      </c>
      <c r="B4" s="70">
        <f>1JakesDeath!C21</f>
        <v>964800</v>
      </c>
      <c r="C4" s="70">
        <f>(2SamsDeath!C22)-C5</f>
        <v>2715055</v>
      </c>
      <c r="D4" s="271">
        <f>B4+C4</f>
        <v>3679855</v>
      </c>
      <c r="E4" s="5"/>
      <c r="F4" s="5"/>
      <c r="G4" s="5"/>
    </row>
    <row r="5" spans="1:7" ht="12.75">
      <c r="A5" s="5" t="s">
        <v>201</v>
      </c>
      <c r="B5" s="70">
        <v>0</v>
      </c>
      <c r="C5" s="70">
        <f>-1*3Insurance!E20</f>
        <v>-840855</v>
      </c>
      <c r="D5" s="273">
        <f>B5+C5</f>
        <v>-840855</v>
      </c>
      <c r="E5" s="5"/>
      <c r="F5" s="5"/>
      <c r="G5" s="5"/>
    </row>
    <row r="6" spans="1:7" ht="13.5" thickBot="1">
      <c r="A6" s="5" t="s">
        <v>202</v>
      </c>
      <c r="B6" s="11">
        <v>3000000</v>
      </c>
      <c r="C6" s="11">
        <v>3000000</v>
      </c>
      <c r="D6" s="272">
        <f>B6+C6</f>
        <v>6000000</v>
      </c>
      <c r="E6" s="5"/>
      <c r="F6" s="5"/>
      <c r="G6" s="5"/>
    </row>
    <row r="7" spans="1:7" ht="13.5" thickTop="1">
      <c r="A7" s="5" t="s">
        <v>71</v>
      </c>
      <c r="B7" s="211">
        <f>SUM(B4:B6)</f>
        <v>3964800</v>
      </c>
      <c r="C7" s="211">
        <f>SUM(C4:C6)</f>
        <v>4874200</v>
      </c>
      <c r="D7" s="211">
        <f>SUM(D4:D6)</f>
        <v>8839000</v>
      </c>
      <c r="E7" s="5"/>
      <c r="F7" s="5"/>
      <c r="G7" s="5"/>
    </row>
    <row r="8" spans="1:7" ht="12.75">
      <c r="A8" s="5"/>
      <c r="B8" s="5"/>
      <c r="C8" s="5"/>
      <c r="D8" s="5"/>
      <c r="E8" s="5"/>
      <c r="F8" s="5"/>
      <c r="G8" s="5"/>
    </row>
    <row r="9" spans="1:7" ht="15.75" customHeight="1">
      <c r="A9" s="292" t="s">
        <v>256</v>
      </c>
      <c r="B9" s="292"/>
      <c r="C9" s="292"/>
      <c r="D9" s="292"/>
      <c r="E9" s="293">
        <v>8839000</v>
      </c>
      <c r="F9" s="5"/>
      <c r="G9" s="5"/>
    </row>
    <row r="10" spans="1:7" ht="12.75" customHeight="1" thickBot="1">
      <c r="A10" s="292"/>
      <c r="B10" s="292"/>
      <c r="C10" s="292"/>
      <c r="D10" s="292"/>
      <c r="E10" s="294"/>
      <c r="F10" s="263" t="str">
        <f>IF(E9=D7,"Correct!","Try again!")</f>
        <v>Correct!</v>
      </c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 t="s">
        <v>120</v>
      </c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</sheetData>
  <mergeCells count="2">
    <mergeCell ref="A9:D10"/>
    <mergeCell ref="E9:E10"/>
  </mergeCells>
  <printOptions/>
  <pageMargins left="0.75" right="0.75" top="1" bottom="1" header="0.5" footer="0.5"/>
  <pageSetup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52"/>
  <sheetViews>
    <sheetView workbookViewId="0" topLeftCell="A1">
      <selection activeCell="F7" sqref="F7"/>
    </sheetView>
  </sheetViews>
  <sheetFormatPr defaultColWidth="9.140625" defaultRowHeight="12.75"/>
  <cols>
    <col min="2" max="2" width="40.7109375" style="0" customWidth="1"/>
    <col min="3" max="3" width="6.7109375" style="0" customWidth="1"/>
    <col min="4" max="4" width="11.7109375" style="0" customWidth="1"/>
  </cols>
  <sheetData>
    <row r="1" spans="1:6" ht="12.75">
      <c r="A1" s="281" t="s">
        <v>263</v>
      </c>
      <c r="B1" s="281"/>
      <c r="C1" s="5"/>
      <c r="D1" s="5"/>
      <c r="E1" s="5"/>
      <c r="F1" s="212"/>
    </row>
    <row r="2" spans="1:6" ht="12.75">
      <c r="A2" s="149"/>
      <c r="B2" s="220" t="s">
        <v>205</v>
      </c>
      <c r="C2" s="5"/>
      <c r="D2" s="192">
        <v>0.5</v>
      </c>
      <c r="E2" s="5"/>
      <c r="F2" s="212"/>
    </row>
    <row r="3" spans="1:6" ht="12.75">
      <c r="A3" s="5"/>
      <c r="B3" s="5"/>
      <c r="C3" s="5"/>
      <c r="D3" s="5"/>
      <c r="E3" s="5"/>
      <c r="F3" s="5"/>
    </row>
    <row r="4" spans="1:6" ht="12.75">
      <c r="A4" s="225" t="s">
        <v>150</v>
      </c>
      <c r="B4" s="5"/>
      <c r="C4" s="5"/>
      <c r="D4" s="5"/>
      <c r="E4" s="5"/>
      <c r="F4" s="5"/>
    </row>
    <row r="5" spans="1:6" ht="12.75">
      <c r="A5" s="5"/>
      <c r="B5" s="224" t="s">
        <v>9</v>
      </c>
      <c r="C5" s="5"/>
      <c r="D5" s="239">
        <f>(1-($D$2))*D15</f>
        <v>0.009543028685790529</v>
      </c>
      <c r="E5" s="5"/>
      <c r="F5" s="5"/>
    </row>
    <row r="6" spans="1:6" ht="12.75">
      <c r="A6" s="5"/>
      <c r="B6" s="42"/>
      <c r="C6" s="5"/>
      <c r="D6" s="174"/>
      <c r="E6" s="5"/>
      <c r="F6" s="5"/>
    </row>
    <row r="7" spans="1:6" ht="12.75">
      <c r="A7" s="5"/>
      <c r="B7" s="231" t="str">
        <f>B17</f>
        <v>Of critical injury</v>
      </c>
      <c r="C7" s="5"/>
      <c r="D7" s="239">
        <f>(1-($D$2))*D17</f>
        <v>0.03137091394262842</v>
      </c>
      <c r="E7" s="5"/>
      <c r="F7" s="5"/>
    </row>
    <row r="8" spans="1:6" ht="12.75">
      <c r="A8" s="5"/>
      <c r="B8" s="199"/>
      <c r="C8" s="5"/>
      <c r="D8" s="240"/>
      <c r="E8" s="5"/>
      <c r="F8" s="5"/>
    </row>
    <row r="9" spans="1:6" ht="12.75">
      <c r="A9" s="5"/>
      <c r="B9" s="227" t="str">
        <f>B19</f>
        <v>Of serious injury</v>
      </c>
      <c r="C9" s="5"/>
      <c r="D9" s="239">
        <f>(1-($D$2))*D19</f>
        <v>0.0768012008005337</v>
      </c>
      <c r="E9" s="5"/>
      <c r="F9" s="5"/>
    </row>
    <row r="10" spans="1:6" ht="12.75">
      <c r="A10" s="5"/>
      <c r="B10" s="199"/>
      <c r="C10" s="5"/>
      <c r="D10" s="174"/>
      <c r="E10" s="5"/>
      <c r="F10" s="5"/>
    </row>
    <row r="11" spans="1:6" ht="12.75">
      <c r="A11" s="5"/>
      <c r="B11" s="230" t="str">
        <f>B21</f>
        <v>Of minor injury</v>
      </c>
      <c r="C11" s="5"/>
      <c r="D11" s="239">
        <f>(1-($D$2))*D21</f>
        <v>0.12274182788525684</v>
      </c>
      <c r="E11" s="5"/>
      <c r="F11" s="5"/>
    </row>
    <row r="12" spans="1:6" ht="12.75">
      <c r="A12" s="5"/>
      <c r="B12" s="199"/>
      <c r="C12" s="5"/>
      <c r="D12" s="240"/>
      <c r="E12" s="5"/>
      <c r="F12" s="5"/>
    </row>
    <row r="13" spans="1:6" ht="12.75">
      <c r="A13" s="5"/>
      <c r="B13" s="199" t="s">
        <v>12</v>
      </c>
      <c r="C13" s="5"/>
      <c r="D13" s="241">
        <f>1-SUM(D5:D11)</f>
        <v>0.7595430286857905</v>
      </c>
      <c r="E13" s="5"/>
      <c r="F13" s="5"/>
    </row>
    <row r="14" spans="1:6" ht="12.75">
      <c r="A14" s="225" t="s">
        <v>151</v>
      </c>
      <c r="C14" s="5"/>
      <c r="D14" s="174"/>
      <c r="E14" s="20"/>
      <c r="F14" s="5"/>
    </row>
    <row r="15" spans="1:6" ht="12.75">
      <c r="A15" s="5"/>
      <c r="B15" s="223" t="s">
        <v>9</v>
      </c>
      <c r="C15" s="5"/>
      <c r="D15" s="192">
        <f>((137*0.01)+(1362*0.02))/(137+1362)</f>
        <v>0.019086057371581058</v>
      </c>
      <c r="E15" s="5"/>
      <c r="F15" s="5"/>
    </row>
    <row r="16" spans="1:6" ht="12.75">
      <c r="A16" s="5"/>
      <c r="B16" s="5"/>
      <c r="C16" s="5"/>
      <c r="D16" s="174"/>
      <c r="E16" s="5"/>
      <c r="F16" s="5"/>
    </row>
    <row r="17" spans="1:6" ht="12.75">
      <c r="A17" s="5"/>
      <c r="B17" s="232" t="s">
        <v>223</v>
      </c>
      <c r="C17" s="5"/>
      <c r="D17" s="192">
        <f>((137*0.09)+(1362*0.06))/(137+1362)</f>
        <v>0.06274182788525684</v>
      </c>
      <c r="E17" s="5"/>
      <c r="F17" s="5"/>
    </row>
    <row r="18" spans="1:6" ht="12.75">
      <c r="A18" s="5"/>
      <c r="B18" s="20"/>
      <c r="C18" s="5"/>
      <c r="D18" s="240"/>
      <c r="E18" s="5"/>
      <c r="F18" s="5"/>
    </row>
    <row r="19" spans="1:6" ht="12.75">
      <c r="A19" s="5"/>
      <c r="B19" s="228" t="s">
        <v>152</v>
      </c>
      <c r="C19" s="5"/>
      <c r="D19" s="192">
        <f>((137*0.09)+(1362*0.16))/(137+1362)</f>
        <v>0.1536024016010674</v>
      </c>
      <c r="E19" s="5"/>
      <c r="F19" s="5"/>
    </row>
    <row r="20" spans="1:6" ht="12.75">
      <c r="A20" s="5"/>
      <c r="B20" s="20"/>
      <c r="C20" s="5"/>
      <c r="D20" s="174"/>
      <c r="E20" s="5"/>
      <c r="F20" s="5"/>
    </row>
    <row r="21" spans="1:6" ht="12.75">
      <c r="A21" s="5"/>
      <c r="B21" s="229" t="s">
        <v>224</v>
      </c>
      <c r="C21" s="5"/>
      <c r="D21" s="192">
        <f>((137*0.3)+(1362*0.24))/(137+1362)</f>
        <v>0.24548365577051368</v>
      </c>
      <c r="E21" s="5"/>
      <c r="F21" s="5"/>
    </row>
    <row r="22" spans="1:6" ht="12.75">
      <c r="A22" s="5"/>
      <c r="B22" s="20"/>
      <c r="C22" s="5"/>
      <c r="D22" s="174"/>
      <c r="E22" s="5"/>
      <c r="F22" s="5"/>
    </row>
    <row r="23" spans="2:6" ht="12.75">
      <c r="B23" s="20" t="s">
        <v>12</v>
      </c>
      <c r="C23" s="5"/>
      <c r="D23" s="241">
        <f>1-SUM(D15:D21)</f>
        <v>0.519086057371581</v>
      </c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287" t="s">
        <v>244</v>
      </c>
      <c r="B25" s="287"/>
      <c r="C25" s="287"/>
      <c r="D25" s="165" t="s">
        <v>245</v>
      </c>
      <c r="E25" s="5"/>
      <c r="F25" s="5"/>
    </row>
    <row r="26" spans="1:6" ht="16.5" thickBot="1">
      <c r="A26" s="287"/>
      <c r="B26" s="287"/>
      <c r="C26" s="287"/>
      <c r="D26" s="255" t="s">
        <v>245</v>
      </c>
      <c r="E26" s="253" t="str">
        <f>IF(D25=D26,"Correct!","Try again!")</f>
        <v>Correct!</v>
      </c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 t="s">
        <v>154</v>
      </c>
      <c r="D34" s="5" t="s">
        <v>155</v>
      </c>
      <c r="E34" s="5"/>
      <c r="F34" s="5"/>
    </row>
    <row r="35" spans="1:6" ht="12.75">
      <c r="A35" s="5"/>
      <c r="B35" s="5" t="s">
        <v>3</v>
      </c>
      <c r="C35" s="174">
        <f>D15</f>
        <v>0.019086057371581058</v>
      </c>
      <c r="D35" s="174">
        <f>D5</f>
        <v>0.009543028685790529</v>
      </c>
      <c r="E35" s="5"/>
      <c r="F35" s="5"/>
    </row>
    <row r="36" spans="1:6" ht="12.75">
      <c r="A36" s="5"/>
      <c r="B36" s="5" t="s">
        <v>231</v>
      </c>
      <c r="C36" s="174">
        <f>D17</f>
        <v>0.06274182788525684</v>
      </c>
      <c r="D36" s="174">
        <f>D7</f>
        <v>0.03137091394262842</v>
      </c>
      <c r="E36" s="5"/>
      <c r="F36" s="5"/>
    </row>
    <row r="37" spans="1:6" ht="12.75">
      <c r="A37" s="5"/>
      <c r="B37" s="5" t="s">
        <v>153</v>
      </c>
      <c r="C37" s="174">
        <f>D19</f>
        <v>0.1536024016010674</v>
      </c>
      <c r="D37" s="174">
        <f>D9</f>
        <v>0.0768012008005337</v>
      </c>
      <c r="E37" s="5"/>
      <c r="F37" s="5"/>
    </row>
    <row r="38" spans="1:6" ht="12.75">
      <c r="A38" s="5"/>
      <c r="B38" s="5" t="s">
        <v>232</v>
      </c>
      <c r="C38" s="174">
        <f>D21</f>
        <v>0.24548365577051368</v>
      </c>
      <c r="D38" s="174">
        <f>D11</f>
        <v>0.12274182788525684</v>
      </c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2:6" ht="12.75">
      <c r="B48" s="5"/>
      <c r="C48" s="5"/>
      <c r="D48" s="5"/>
      <c r="E48" s="5"/>
      <c r="F48" s="5"/>
    </row>
    <row r="49" spans="1:6" ht="12.75">
      <c r="A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 t="s">
        <v>120</v>
      </c>
      <c r="B52" s="5"/>
      <c r="C52" s="5"/>
      <c r="D52" s="5"/>
      <c r="E52" s="5"/>
      <c r="F52" s="5"/>
    </row>
  </sheetData>
  <mergeCells count="2">
    <mergeCell ref="A1:B1"/>
    <mergeCell ref="A25:C26"/>
  </mergeCells>
  <printOptions/>
  <pageMargins left="0.82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48"/>
  <sheetViews>
    <sheetView workbookViewId="0" topLeftCell="A1">
      <selection activeCell="E1" sqref="E1:F1"/>
    </sheetView>
  </sheetViews>
  <sheetFormatPr defaultColWidth="9.140625" defaultRowHeight="12.75"/>
  <sheetData>
    <row r="1" spans="1:9" ht="12.75">
      <c r="A1" s="219" t="s">
        <v>266</v>
      </c>
      <c r="B1" s="219"/>
      <c r="C1" s="219"/>
      <c r="D1" s="219"/>
      <c r="E1" s="281"/>
      <c r="F1" s="281"/>
      <c r="G1" s="19"/>
      <c r="H1" s="19"/>
      <c r="I1" s="19"/>
    </row>
    <row r="2" spans="1:9" ht="15.75" customHeight="1">
      <c r="A2" s="295" t="s">
        <v>242</v>
      </c>
      <c r="B2" s="295"/>
      <c r="C2" s="295"/>
      <c r="D2" s="295"/>
      <c r="E2" s="295"/>
      <c r="F2" s="258"/>
      <c r="G2" s="66"/>
      <c r="H2" s="66"/>
      <c r="I2" s="19"/>
    </row>
    <row r="3" spans="1:9" ht="15.75" customHeight="1" thickBot="1">
      <c r="A3" s="295"/>
      <c r="B3" s="295"/>
      <c r="C3" s="295"/>
      <c r="D3" s="295"/>
      <c r="E3" s="295"/>
      <c r="F3" s="258"/>
      <c r="G3" s="259">
        <v>6189</v>
      </c>
      <c r="H3" s="4" t="s">
        <v>255</v>
      </c>
      <c r="I3" s="260" t="str">
        <f>IF(C13=G3,"Correct!","Try again!")</f>
        <v>Correct!</v>
      </c>
    </row>
    <row r="4" spans="1:9" ht="15.75" customHeight="1">
      <c r="A4" s="295" t="s">
        <v>243</v>
      </c>
      <c r="B4" s="295"/>
      <c r="C4" s="295"/>
      <c r="D4" s="295"/>
      <c r="E4" s="295"/>
      <c r="F4" s="295"/>
      <c r="G4" s="66"/>
      <c r="H4" s="66"/>
      <c r="I4" s="19"/>
    </row>
    <row r="5" spans="1:9" ht="16.5" thickBot="1">
      <c r="A5" s="295"/>
      <c r="B5" s="295"/>
      <c r="C5" s="295"/>
      <c r="D5" s="295"/>
      <c r="E5" s="295"/>
      <c r="F5" s="295"/>
      <c r="G5" s="259">
        <f>C21</f>
        <v>3333</v>
      </c>
      <c r="H5" s="4" t="s">
        <v>255</v>
      </c>
      <c r="I5" s="260" t="str">
        <f>IF(C21=G5,"Correct!","Try again!")</f>
        <v>Correct!</v>
      </c>
    </row>
    <row r="6" spans="1:9" ht="12.75">
      <c r="A6" s="18"/>
      <c r="B6" s="18"/>
      <c r="C6" s="18"/>
      <c r="D6" s="18"/>
      <c r="E6" s="19"/>
      <c r="F6" s="19"/>
      <c r="G6" s="86"/>
      <c r="H6" s="86"/>
      <c r="I6" s="19"/>
    </row>
    <row r="7" spans="1:9" ht="12.75">
      <c r="A7" s="19"/>
      <c r="B7" s="19"/>
      <c r="C7" s="19"/>
      <c r="D7" s="19"/>
      <c r="E7" s="19"/>
      <c r="F7" s="19"/>
      <c r="G7" s="69"/>
      <c r="H7" s="69"/>
      <c r="I7" s="19"/>
    </row>
    <row r="8" spans="1:9" ht="14.25">
      <c r="A8" s="19"/>
      <c r="B8" s="93"/>
      <c r="C8" s="19" t="s">
        <v>239</v>
      </c>
      <c r="D8" s="19"/>
      <c r="E8" s="69"/>
      <c r="F8" s="19"/>
      <c r="G8" s="69"/>
      <c r="H8" s="69"/>
      <c r="I8" s="19"/>
    </row>
    <row r="9" spans="1:9" ht="14.25">
      <c r="A9" s="19"/>
      <c r="B9" s="93" t="s">
        <v>51</v>
      </c>
      <c r="C9" s="247">
        <f>DecisionTree!P16*0.65</f>
        <v>245.63755837224824</v>
      </c>
      <c r="D9" s="19"/>
      <c r="E9" s="69"/>
      <c r="F9" s="19"/>
      <c r="G9" s="69"/>
      <c r="H9" s="213"/>
      <c r="I9" s="19"/>
    </row>
    <row r="10" spans="1:9" ht="14.25">
      <c r="A10" s="19"/>
      <c r="B10" s="93" t="s">
        <v>257</v>
      </c>
      <c r="C10" s="247">
        <f>DecisionTree!P17*0.65</f>
        <v>807.4873248832556</v>
      </c>
      <c r="D10" s="19"/>
      <c r="E10" s="69"/>
      <c r="F10" s="19"/>
      <c r="G10" s="69"/>
      <c r="H10" s="69"/>
      <c r="I10" s="19"/>
    </row>
    <row r="11" spans="1:9" ht="14.25">
      <c r="A11" s="19"/>
      <c r="B11" s="93" t="s">
        <v>258</v>
      </c>
      <c r="C11" s="247">
        <f>DecisionTree!P18*0.65</f>
        <v>1976.8629086057374</v>
      </c>
      <c r="D11" s="19"/>
      <c r="E11" s="69"/>
      <c r="F11" s="19"/>
      <c r="G11" s="69"/>
      <c r="H11" s="69"/>
      <c r="I11" s="19"/>
    </row>
    <row r="12" spans="1:9" ht="14.25">
      <c r="A12" s="19"/>
      <c r="B12" s="93" t="s">
        <v>259</v>
      </c>
      <c r="C12" s="247">
        <f>DecisionTree!P19*0.65</f>
        <v>3159.374649766511</v>
      </c>
      <c r="D12" s="19"/>
      <c r="E12" s="19"/>
      <c r="F12" s="19"/>
      <c r="G12" s="69"/>
      <c r="H12" s="69"/>
      <c r="I12" s="19"/>
    </row>
    <row r="13" spans="1:9" ht="12.75">
      <c r="A13" s="19"/>
      <c r="B13" s="19"/>
      <c r="C13" s="247">
        <v>6189</v>
      </c>
      <c r="D13" s="19"/>
      <c r="E13" s="69"/>
      <c r="F13" s="19"/>
      <c r="G13" s="69"/>
      <c r="H13" s="69"/>
      <c r="I13" s="19"/>
    </row>
    <row r="14" spans="1:9" ht="12.75">
      <c r="A14" s="19"/>
      <c r="B14" s="19"/>
      <c r="C14" s="19"/>
      <c r="D14" s="19"/>
      <c r="E14" s="69"/>
      <c r="F14" s="19"/>
      <c r="G14" s="69"/>
      <c r="H14" s="69"/>
      <c r="I14" s="19"/>
    </row>
    <row r="15" spans="1:9" ht="12.75">
      <c r="A15" s="19"/>
      <c r="B15" s="19"/>
      <c r="C15" s="19"/>
      <c r="D15" s="19"/>
      <c r="E15" s="69"/>
      <c r="F15" s="19"/>
      <c r="G15" s="69"/>
      <c r="H15" s="69"/>
      <c r="I15" s="19"/>
    </row>
    <row r="16" spans="1:9" ht="14.25">
      <c r="A16" s="19"/>
      <c r="B16" s="93"/>
      <c r="C16" s="19" t="s">
        <v>240</v>
      </c>
      <c r="D16" s="19"/>
      <c r="E16" s="69"/>
      <c r="F16" s="19"/>
      <c r="G16" s="69"/>
      <c r="H16" s="69"/>
      <c r="I16" s="19"/>
    </row>
    <row r="17" spans="1:9" ht="14.25">
      <c r="A17" s="19"/>
      <c r="B17" s="93" t="s">
        <v>51</v>
      </c>
      <c r="C17" s="247">
        <f>DecisionTree!P16*0.35</f>
        <v>132.26637758505672</v>
      </c>
      <c r="D17" s="19"/>
      <c r="E17" s="69"/>
      <c r="F17" s="19"/>
      <c r="G17" s="69"/>
      <c r="H17" s="69"/>
      <c r="I17" s="19"/>
    </row>
    <row r="18" spans="1:9" ht="14.25">
      <c r="A18" s="19"/>
      <c r="B18" s="93" t="s">
        <v>225</v>
      </c>
      <c r="C18" s="247">
        <f>DecisionTree!P17*0.35</f>
        <v>434.8008672448299</v>
      </c>
      <c r="D18" s="19"/>
      <c r="E18" s="69"/>
      <c r="F18" s="19"/>
      <c r="G18" s="69"/>
      <c r="H18" s="69"/>
      <c r="I18" s="19"/>
    </row>
    <row r="19" spans="1:9" ht="14.25">
      <c r="A19" s="19"/>
      <c r="B19" s="93" t="s">
        <v>160</v>
      </c>
      <c r="C19" s="247">
        <f>DecisionTree!P18*0.35</f>
        <v>1064.464643095397</v>
      </c>
      <c r="D19" s="19"/>
      <c r="E19" s="69"/>
      <c r="F19" s="19"/>
      <c r="G19" s="69"/>
      <c r="H19" s="69"/>
      <c r="I19" s="19"/>
    </row>
    <row r="20" spans="1:9" ht="14.25">
      <c r="A20" s="19"/>
      <c r="B20" s="93" t="s">
        <v>14</v>
      </c>
      <c r="C20" s="247">
        <f>DecisionTree!P19*0.35</f>
        <v>1701.2017344896597</v>
      </c>
      <c r="D20" s="19"/>
      <c r="E20" s="69"/>
      <c r="F20" s="19"/>
      <c r="G20" s="69"/>
      <c r="H20" s="69"/>
      <c r="I20" s="19"/>
    </row>
    <row r="21" spans="1:9" ht="12.75">
      <c r="A21" s="19"/>
      <c r="B21" s="19"/>
      <c r="C21" s="247">
        <v>3333</v>
      </c>
      <c r="D21" s="19"/>
      <c r="E21" s="69"/>
      <c r="F21" s="19"/>
      <c r="G21" s="69"/>
      <c r="H21" s="69"/>
      <c r="I21" s="19"/>
    </row>
    <row r="22" spans="1:9" ht="12.75">
      <c r="A22" s="19"/>
      <c r="B22" s="19"/>
      <c r="C22" s="19"/>
      <c r="D22" s="19"/>
      <c r="E22" s="69"/>
      <c r="F22" s="19"/>
      <c r="G22" s="69"/>
      <c r="H22" s="69"/>
      <c r="I22" s="19"/>
    </row>
    <row r="23" spans="1:9" ht="12.75">
      <c r="A23" s="19"/>
      <c r="B23" s="19"/>
      <c r="C23" s="19"/>
      <c r="D23" s="19"/>
      <c r="E23" s="69"/>
      <c r="F23" s="19"/>
      <c r="G23" s="69"/>
      <c r="H23" s="69"/>
      <c r="I23" s="19"/>
    </row>
    <row r="24" spans="1:9" ht="12.75">
      <c r="A24" s="19"/>
      <c r="B24" s="19"/>
      <c r="C24" s="19"/>
      <c r="D24" s="19"/>
      <c r="E24" s="69"/>
      <c r="F24" s="19"/>
      <c r="G24" s="19"/>
      <c r="H24" s="19"/>
      <c r="I24" s="19"/>
    </row>
    <row r="25" spans="1:9" ht="12.7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2.7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5"/>
      <c r="B28" s="5"/>
      <c r="C28" s="65"/>
      <c r="D28" s="65"/>
      <c r="E28" s="65"/>
      <c r="F28" s="5"/>
      <c r="G28" s="5"/>
      <c r="H28" s="5"/>
      <c r="I28" s="5"/>
    </row>
    <row r="29" spans="1:9" ht="12.75">
      <c r="A29" s="5"/>
      <c r="B29" s="5"/>
      <c r="C29" s="65"/>
      <c r="D29" s="65"/>
      <c r="E29" s="65"/>
      <c r="F29" s="5"/>
      <c r="G29" s="5"/>
      <c r="H29" s="5"/>
      <c r="I29" s="5"/>
    </row>
    <row r="30" spans="1:9" ht="12.75">
      <c r="A30" s="5"/>
      <c r="B30" s="5"/>
      <c r="C30" s="65"/>
      <c r="D30" s="60"/>
      <c r="E30" s="60"/>
      <c r="F30" s="5"/>
      <c r="G30" s="5"/>
      <c r="H30" s="5"/>
      <c r="I30" s="5"/>
    </row>
    <row r="31" spans="1:9" ht="12.75">
      <c r="A31" s="5"/>
      <c r="B31" s="5"/>
      <c r="C31" s="65"/>
      <c r="D31" s="60"/>
      <c r="E31" s="60"/>
      <c r="F31" s="5"/>
      <c r="G31" s="5"/>
      <c r="H31" s="5"/>
      <c r="I31" s="5"/>
    </row>
    <row r="32" spans="1:9" ht="12.75">
      <c r="A32" s="5"/>
      <c r="B32" s="5"/>
      <c r="C32" s="65"/>
      <c r="D32" s="65"/>
      <c r="E32" s="6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 t="s">
        <v>120</v>
      </c>
      <c r="B48" s="5"/>
      <c r="C48" s="5"/>
      <c r="D48" s="5"/>
      <c r="E48" s="5"/>
      <c r="F48" s="5"/>
      <c r="G48" s="5"/>
      <c r="H48" s="5"/>
      <c r="I48" s="5"/>
    </row>
  </sheetData>
  <mergeCells count="3">
    <mergeCell ref="A4:F5"/>
    <mergeCell ref="E1:F1"/>
    <mergeCell ref="A2:E3"/>
  </mergeCells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Heather</cp:lastModifiedBy>
  <cp:lastPrinted>2005-09-08T19:31:02Z</cp:lastPrinted>
  <dcterms:created xsi:type="dcterms:W3CDTF">2004-10-12T22:56:54Z</dcterms:created>
  <dcterms:modified xsi:type="dcterms:W3CDTF">2005-09-13T14:01:04Z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-624291126</vt:i4>
  </property>
  <property fmtid="{D5CDD505-2E9C-101B-9397-08002B2CF9AE}" pid="3" name="_EmailSubject">
    <vt:lpwstr>Low Road Answers-Doc</vt:lpwstr>
  </property>
  <property fmtid="{D5CDD505-2E9C-101B-9397-08002B2CF9AE}" pid="4" name="_AuthorEmail">
    <vt:lpwstr>melmyers@bellsouth.net</vt:lpwstr>
  </property>
  <property fmtid="{D5CDD505-2E9C-101B-9397-08002B2CF9AE}" pid="5" name="_AuthorEmailDisplayName">
    <vt:lpwstr>Melvin L. Myers</vt:lpwstr>
  </property>
  <property fmtid="{D5CDD505-2E9C-101B-9397-08002B2CF9AE}" pid="6" name="_PreviousAdHocReviewCycleID">
    <vt:i4>523533892</vt:i4>
  </property>
  <property fmtid="{D5CDD505-2E9C-101B-9397-08002B2CF9AE}" pid="7" name="_ReviewingToolsShownOnce">
    <vt:lpwstr/>
  </property>
</Properties>
</file>