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625" activeTab="0"/>
  </bookViews>
  <sheets>
    <sheet name="1HeathersCare" sheetId="1" r:id="rId1"/>
    <sheet name="2AnnualCosts" sheetId="2" r:id="rId2"/>
    <sheet name="3LifeCare" sheetId="3" r:id="rId3"/>
    <sheet name="4CostDistribution" sheetId="4" r:id="rId4"/>
    <sheet name="5InterventionCost" sheetId="5" r:id="rId5"/>
    <sheet name="6YearCost" sheetId="6" state="hidden" r:id="rId6"/>
    <sheet name="7DiscountedCost" sheetId="7" state="hidden" r:id="rId7"/>
    <sheet name="6Interest" sheetId="8" r:id="rId8"/>
    <sheet name="7InjuryCost" sheetId="9" r:id="rId9"/>
    <sheet name="8CostType" sheetId="10" r:id="rId10"/>
    <sheet name="11FallLikelihood" sheetId="11" state="hidden" r:id="rId11"/>
    <sheet name="ExposureHours12" sheetId="12" state="hidden" r:id="rId12"/>
    <sheet name="13HelmetEffectiveness" sheetId="13" state="hidden" r:id="rId13"/>
    <sheet name="9Probabilities" sheetId="14" r:id="rId14"/>
    <sheet name="10InjuriesAverted" sheetId="15" r:id="rId15"/>
    <sheet name="11Schedule" sheetId="16" r:id="rId16"/>
    <sheet name="17Discounting" sheetId="17" state="hidden" r:id="rId17"/>
    <sheet name="12CostEffectiveness" sheetId="18" r:id="rId18"/>
    <sheet name="19BreakEven" sheetId="19" state="hidden" r:id="rId19"/>
    <sheet name="13BenefitCost" sheetId="20" r:id="rId20"/>
  </sheets>
  <definedNames>
    <definedName name="_xlnm.Print_Area" localSheetId="14">'10InjuriesAverted'!$A$1:$T$42</definedName>
    <definedName name="_xlnm.Print_Area" localSheetId="15">'11Schedule'!$A$1:$H$51</definedName>
    <definedName name="_xlnm.Print_Area" localSheetId="17">'12CostEffectiveness'!$A$1:$H$51</definedName>
    <definedName name="_xlnm.Print_Area" localSheetId="12">'13HelmetEffectiveness'!$A$1:$E$50</definedName>
    <definedName name="_xlnm.Print_Area" localSheetId="0">'1HeathersCare'!$A$1:$H$51</definedName>
    <definedName name="_xlnm.Print_Area" localSheetId="1">'2AnnualCosts'!$A$1:$H$50</definedName>
    <definedName name="_xlnm.Print_Area" localSheetId="2">'3LifeCare'!$A$1:$H$51</definedName>
    <definedName name="_xlnm.Print_Area" localSheetId="3">'4CostDistribution'!$A$1:$I$51</definedName>
    <definedName name="_xlnm.Print_Area" localSheetId="4">'5InterventionCost'!$A$1:$J$49</definedName>
    <definedName name="_xlnm.Print_Area" localSheetId="7">'6Interest'!$A$1:$I$50</definedName>
    <definedName name="_xlnm.Print_Area" localSheetId="6">'7DiscountedCost'!$A$1:$I$48</definedName>
    <definedName name="_xlnm.Print_Area" localSheetId="8">'7InjuryCost'!$A$1:$I$49</definedName>
    <definedName name="_xlnm.Print_Area" localSheetId="13">'9Probabilities'!$A$1:$O$50</definedName>
    <definedName name="_xlnm.Print_Area" localSheetId="11">'ExposureHours12'!$A$1:$F$51</definedName>
  </definedNames>
  <calcPr fullCalcOnLoad="1"/>
</workbook>
</file>

<file path=xl/comments10.xml><?xml version="1.0" encoding="utf-8"?>
<comments xmlns="http://schemas.openxmlformats.org/spreadsheetml/2006/main">
  <authors>
    <author>Melvin Myers</author>
    <author>Preferred Customer</author>
  </authors>
  <commentList>
    <comment ref="G1" authorId="0">
      <text>
        <r>
          <rPr>
            <b/>
            <sz val="8"/>
            <rFont val="Tahoma"/>
            <family val="0"/>
          </rPr>
          <t xml:space="preserve">At the micro-economic  (or farm) level. </t>
        </r>
      </text>
    </comment>
    <comment ref="H3" authorId="1">
      <text>
        <r>
          <rPr>
            <b/>
            <sz val="8"/>
            <rFont val="Tahoma"/>
            <family val="0"/>
          </rPr>
          <t xml:space="preserve">WRONG: This cost is borne by Dan and is not a cash outlay. </t>
        </r>
      </text>
    </comment>
    <comment ref="G3" authorId="1">
      <text>
        <r>
          <rPr>
            <b/>
            <sz val="8"/>
            <rFont val="Tahoma"/>
            <family val="0"/>
          </rPr>
          <t xml:space="preserve">RIGHT: This is an implicit cost, which is borne within the household of Dan's family. </t>
        </r>
      </text>
    </comment>
    <comment ref="G4" authorId="1">
      <text>
        <r>
          <rPr>
            <b/>
            <sz val="8"/>
            <rFont val="Tahoma"/>
            <family val="0"/>
          </rPr>
          <t xml:space="preserve">WRONG: This a cash outlay by Dan. </t>
        </r>
      </text>
    </comment>
    <comment ref="H4" authorId="1">
      <text>
        <r>
          <rPr>
            <b/>
            <sz val="8"/>
            <rFont val="Tahoma"/>
            <family val="0"/>
          </rPr>
          <t xml:space="preserve">RIGHT: This is a cash outlay by Dan. </t>
        </r>
      </text>
    </comment>
    <comment ref="E11" authorId="1">
      <text>
        <r>
          <rPr>
            <b/>
            <sz val="8"/>
            <rFont val="Tahoma"/>
            <family val="0"/>
          </rPr>
          <t>See previous worksheet for the calculation</t>
        </r>
      </text>
    </comment>
    <comment ref="E9" authorId="1">
      <text>
        <r>
          <rPr>
            <b/>
            <sz val="8"/>
            <rFont val="Tahoma"/>
            <family val="0"/>
          </rPr>
          <t>See previous worksheet for the calculation.</t>
        </r>
      </text>
    </comment>
  </commentList>
</comments>
</file>

<file path=xl/comments15.xml><?xml version="1.0" encoding="utf-8"?>
<comments xmlns="http://schemas.openxmlformats.org/spreadsheetml/2006/main">
  <authors>
    <author>Preferred Customer</author>
    <author>Melvin Myers</author>
  </authors>
  <commentList>
    <comment ref="I17" authorId="0">
      <text>
        <r>
          <rPr>
            <b/>
            <sz val="10"/>
            <rFont val="Tahoma"/>
            <family val="2"/>
          </rPr>
          <t>Note that this column of probilities adds up to 1.</t>
        </r>
      </text>
    </comment>
    <comment ref="I40" authorId="0">
      <text>
        <r>
          <rPr>
            <b/>
            <sz val="8"/>
            <rFont val="Tahoma"/>
            <family val="0"/>
          </rPr>
          <t xml:space="preserve">Note that this column of probabilties adds up t 1. </t>
        </r>
      </text>
    </comment>
    <comment ref="F20" authorId="0">
      <text>
        <r>
          <rPr>
            <b/>
            <sz val="8"/>
            <rFont val="Tahoma"/>
            <family val="0"/>
          </rPr>
          <t>This value is equal to 1 minus the probability of an overturn.</t>
        </r>
      </text>
    </comment>
    <comment ref="F25" authorId="0">
      <text>
        <r>
          <rPr>
            <b/>
            <sz val="8"/>
            <rFont val="Tahoma"/>
            <family val="0"/>
          </rPr>
          <t xml:space="preserve">This value is the result of 1 minus the probability of an overturn. </t>
        </r>
      </text>
    </comment>
    <comment ref="Q3" authorId="1">
      <text>
        <r>
          <rPr>
            <b/>
            <sz val="12"/>
            <rFont val="Tahoma"/>
            <family val="2"/>
          </rPr>
          <t>Probabilities sum to the number, 1.</t>
        </r>
      </text>
    </comment>
  </commentList>
</comments>
</file>

<file path=xl/comments16.xml><?xml version="1.0" encoding="utf-8"?>
<comments xmlns="http://schemas.openxmlformats.org/spreadsheetml/2006/main">
  <authors>
    <author>Preferred Customer</author>
    <author>Melvin Myers</author>
  </authors>
  <commentList>
    <comment ref="B8" authorId="0">
      <text>
        <r>
          <rPr>
            <b/>
            <sz val="8"/>
            <rFont val="Tahoma"/>
            <family val="0"/>
          </rPr>
          <t>Maximum Abbreviated Injury Scale</t>
        </r>
      </text>
    </comment>
    <comment ref="D17" authorId="1">
      <text>
        <r>
          <rPr>
            <b/>
            <sz val="8"/>
            <rFont val="Tahoma"/>
            <family val="0"/>
          </rPr>
          <t>Use the year in which the injury cost data was calculated.</t>
        </r>
      </text>
    </comment>
    <comment ref="B19" authorId="1">
      <text>
        <r>
          <rPr>
            <b/>
            <sz val="8"/>
            <rFont val="Tahoma"/>
            <family val="0"/>
          </rPr>
          <t xml:space="preserve">Place this figure into the "Inflation Calculator" at the web site. </t>
        </r>
      </text>
    </comment>
  </commentList>
</comments>
</file>

<file path=xl/comments17.xml><?xml version="1.0" encoding="utf-8"?>
<comments xmlns="http://schemas.openxmlformats.org/spreadsheetml/2006/main">
  <authors>
    <author>Preferred Customer</author>
    <author>Melvin Myers</author>
  </authors>
  <commentList>
    <comment ref="A14" authorId="0">
      <text>
        <r>
          <rPr>
            <b/>
            <sz val="8"/>
            <rFont val="Tahoma"/>
            <family val="0"/>
          </rPr>
          <t>When used in a calculation involving discounting, this number is also discounted.</t>
        </r>
      </text>
    </comment>
    <comment ref="C2" authorId="1">
      <text>
        <r>
          <rPr>
            <b/>
            <sz val="8"/>
            <rFont val="Tahoma"/>
            <family val="0"/>
          </rPr>
          <t xml:space="preserve">The accepted "social" discount rate is 3%. </t>
        </r>
      </text>
    </comment>
    <comment ref="C4" authorId="1">
      <text>
        <r>
          <rPr>
            <b/>
            <sz val="8"/>
            <rFont val="Tahoma"/>
            <family val="0"/>
          </rPr>
          <t xml:space="preserve">Assume 60 years expected remaining lifetime of the victim. </t>
        </r>
      </text>
    </comment>
  </commentList>
</comments>
</file>

<file path=xl/comments18.xml><?xml version="1.0" encoding="utf-8"?>
<comments xmlns="http://schemas.openxmlformats.org/spreadsheetml/2006/main">
  <authors>
    <author>Preferred Customer</author>
    <author>Melvin Myers</author>
  </authors>
  <commentList>
    <comment ref="A11" authorId="0">
      <text>
        <r>
          <rPr>
            <b/>
            <sz val="8"/>
            <rFont val="Tahoma"/>
            <family val="0"/>
          </rPr>
          <t>When used in a calculation involving discounting, this number is also discounted.</t>
        </r>
      </text>
    </comment>
    <comment ref="B18" authorId="0">
      <text>
        <r>
          <rPr>
            <b/>
            <sz val="8"/>
            <rFont val="Tahoma"/>
            <family val="0"/>
          </rPr>
          <t>Net cost/injury total</t>
        </r>
      </text>
    </comment>
    <comment ref="H20" authorId="1">
      <text>
        <r>
          <rPr>
            <b/>
            <sz val="8"/>
            <rFont val="Tahoma"/>
            <family val="0"/>
          </rPr>
          <t>NOTE THAT NEGATIVE COSTS ARE POTENTIAL SAVINGS!</t>
        </r>
        <r>
          <rPr>
            <sz val="8"/>
            <rFont val="Tahoma"/>
            <family val="0"/>
          </rPr>
          <t xml:space="preserve">
</t>
        </r>
      </text>
    </comment>
    <comment ref="H22" authorId="1">
      <text>
        <r>
          <rPr>
            <b/>
            <sz val="8"/>
            <rFont val="Tahoma"/>
            <family val="0"/>
          </rPr>
          <t>WOW! That's a lot of money!</t>
        </r>
      </text>
    </comment>
  </commentList>
</comments>
</file>

<file path=xl/comments19.xml><?xml version="1.0" encoding="utf-8"?>
<comments xmlns="http://schemas.openxmlformats.org/spreadsheetml/2006/main">
  <authors>
    <author>Preferred Customer</author>
    <author>Melvin Myers</author>
  </authors>
  <commentList>
    <comment ref="A11" authorId="0">
      <text>
        <r>
          <rPr>
            <b/>
            <sz val="8"/>
            <rFont val="Tahoma"/>
            <family val="0"/>
          </rPr>
          <t>Number of years for the investment to equal the potential benefits.</t>
        </r>
      </text>
    </comment>
    <comment ref="B11" authorId="0">
      <text>
        <r>
          <rPr>
            <b/>
            <sz val="8"/>
            <rFont val="Tahoma"/>
            <family val="0"/>
          </rPr>
          <t>Intervention cost/ sum of injury costs (benefit) per year</t>
        </r>
      </text>
    </comment>
    <comment ref="C14" authorId="1">
      <text>
        <r>
          <rPr>
            <b/>
            <sz val="8"/>
            <rFont val="Tahoma"/>
            <family val="0"/>
          </rPr>
          <t>Definitely!</t>
        </r>
      </text>
    </comment>
  </commentList>
</comments>
</file>

<file path=xl/comments20.xml><?xml version="1.0" encoding="utf-8"?>
<comments xmlns="http://schemas.openxmlformats.org/spreadsheetml/2006/main">
  <authors>
    <author>Preferred Customer</author>
  </authors>
  <commentList>
    <comment ref="B12" authorId="0">
      <text>
        <r>
          <rPr>
            <b/>
            <sz val="8"/>
            <rFont val="Tahoma"/>
            <family val="0"/>
          </rPr>
          <t>Benefit/Cost</t>
        </r>
      </text>
    </comment>
  </commentList>
</comments>
</file>

<file path=xl/comments3.xml><?xml version="1.0" encoding="utf-8"?>
<comments xmlns="http://schemas.openxmlformats.org/spreadsheetml/2006/main">
  <authors>
    <author>Melvin Myers</author>
  </authors>
  <commentList>
    <comment ref="C25" authorId="0">
      <text>
        <r>
          <rPr>
            <b/>
            <sz val="8"/>
            <rFont val="Tahoma"/>
            <family val="0"/>
          </rPr>
          <t xml:space="preserve">Assume a remaining lifetime of the victim of 60 years. </t>
        </r>
      </text>
    </comment>
    <comment ref="C24" authorId="0">
      <text>
        <r>
          <rPr>
            <b/>
            <sz val="8"/>
            <rFont val="Tahoma"/>
            <family val="0"/>
          </rPr>
          <t xml:space="preserve">The accepted "social" discount rate is 3%. </t>
        </r>
      </text>
    </comment>
  </commentList>
</comments>
</file>

<file path=xl/comments5.xml><?xml version="1.0" encoding="utf-8"?>
<comments xmlns="http://schemas.openxmlformats.org/spreadsheetml/2006/main">
  <authors>
    <author>Melvin Myers</author>
  </authors>
  <commentList>
    <comment ref="I4" authorId="0">
      <text>
        <r>
          <rPr>
            <b/>
            <sz val="9"/>
            <rFont val="Tahoma"/>
            <family val="2"/>
          </rPr>
          <t>Five years covers the time that Heather was a minor.</t>
        </r>
      </text>
    </comment>
  </commentList>
</comments>
</file>

<file path=xl/comments6.xml><?xml version="1.0" encoding="utf-8"?>
<comments xmlns="http://schemas.openxmlformats.org/spreadsheetml/2006/main">
  <authors>
    <author>Melvin Myers</author>
    <author>Preferred Customer</author>
  </authors>
  <commentList>
    <comment ref="D7" authorId="0">
      <text>
        <r>
          <rPr>
            <b/>
            <sz val="8"/>
            <rFont val="Tahoma"/>
            <family val="0"/>
          </rPr>
          <t xml:space="preserve">Assume a period of time five years while the victim is a minor until age 18 years. </t>
        </r>
      </text>
    </comment>
    <comment ref="G8" authorId="1">
      <text>
        <r>
          <rPr>
            <b/>
            <sz val="8"/>
            <rFont val="Tahoma"/>
            <family val="0"/>
          </rPr>
          <t>Undiscounted</t>
        </r>
      </text>
    </comment>
  </commentList>
</comments>
</file>

<file path=xl/comments7.xml><?xml version="1.0" encoding="utf-8"?>
<comments xmlns="http://schemas.openxmlformats.org/spreadsheetml/2006/main">
  <authors>
    <author>Melvin Myers</author>
    <author>Preferred Customer</author>
  </authors>
  <commentList>
    <comment ref="D9" authorId="0">
      <text>
        <r>
          <rPr>
            <b/>
            <sz val="8"/>
            <rFont val="Tahoma"/>
            <family val="0"/>
          </rPr>
          <t xml:space="preserve">Assume a period of time five years while the victim is a minor until age 18 years. </t>
        </r>
      </text>
    </comment>
    <comment ref="G10" authorId="1">
      <text>
        <r>
          <rPr>
            <b/>
            <sz val="8"/>
            <rFont val="Tahoma"/>
            <family val="0"/>
          </rPr>
          <t>Undiscounted</t>
        </r>
      </text>
    </comment>
    <comment ref="G12" authorId="1">
      <text>
        <r>
          <rPr>
            <b/>
            <sz val="8"/>
            <rFont val="Tahoma"/>
            <family val="0"/>
          </rPr>
          <t>Discounted</t>
        </r>
      </text>
    </comment>
    <comment ref="E17" authorId="0">
      <text>
        <r>
          <rPr>
            <b/>
            <sz val="10"/>
            <rFont val="Tahoma"/>
            <family val="2"/>
          </rPr>
          <t xml:space="preserve">Future dollars are worth </t>
        </r>
        <r>
          <rPr>
            <b/>
            <u val="single"/>
            <sz val="10"/>
            <rFont val="Tahoma"/>
            <family val="2"/>
          </rPr>
          <t>less</t>
        </r>
        <r>
          <rPr>
            <b/>
            <sz val="10"/>
            <rFont val="Tahoma"/>
            <family val="2"/>
          </rPr>
          <t>.</t>
        </r>
      </text>
    </comment>
  </commentList>
</comments>
</file>

<file path=xl/comments8.xml><?xml version="1.0" encoding="utf-8"?>
<comments xmlns="http://schemas.openxmlformats.org/spreadsheetml/2006/main">
  <authors>
    <author>Melvin Myers</author>
  </authors>
  <commentList>
    <comment ref="G9" authorId="0">
      <text>
        <r>
          <rPr>
            <b/>
            <sz val="8"/>
            <rFont val="Tahoma"/>
            <family val="0"/>
          </rPr>
          <t>This interest was compounded annually.</t>
        </r>
      </text>
    </comment>
    <comment ref="D9" authorId="0">
      <text>
        <r>
          <rPr>
            <b/>
            <sz val="8"/>
            <rFont val="Tahoma"/>
            <family val="0"/>
          </rPr>
          <t>Subtract the $100,000 principal from the total owed.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Melvin Myers</author>
  </authors>
  <commentList>
    <comment ref="D7" authorId="0">
      <text>
        <r>
          <rPr>
            <b/>
            <sz val="8"/>
            <rFont val="Tahoma"/>
            <family val="0"/>
          </rPr>
          <t>Mirco-economic level</t>
        </r>
      </text>
    </comment>
    <comment ref="E7" authorId="0">
      <text>
        <r>
          <rPr>
            <b/>
            <sz val="8"/>
            <rFont val="Tahoma"/>
            <family val="0"/>
          </rPr>
          <t>Macro-economic level.
Social costs include all costs no matter how they are distributed.</t>
        </r>
      </text>
    </comment>
    <comment ref="E23" authorId="0">
      <text>
        <r>
          <rPr>
            <b/>
            <sz val="8"/>
            <rFont val="Tahoma"/>
            <family val="0"/>
          </rPr>
          <t>Dan's payment is matched by the employer's payment</t>
        </r>
      </text>
    </comment>
    <comment ref="D2" authorId="0">
      <text>
        <r>
          <rPr>
            <b/>
            <sz val="8"/>
            <rFont val="Tahoma"/>
            <family val="0"/>
          </rPr>
          <t>Mirco-economic level</t>
        </r>
      </text>
    </comment>
    <comment ref="E2" authorId="0">
      <text>
        <r>
          <rPr>
            <b/>
            <sz val="8"/>
            <rFont val="Tahoma"/>
            <family val="0"/>
          </rPr>
          <t>Macro-economic level.
Social costs include all costs no matter how they are distributed.</t>
        </r>
      </text>
    </comment>
  </commentList>
</comments>
</file>

<file path=xl/sharedStrings.xml><?xml version="1.0" encoding="utf-8"?>
<sst xmlns="http://schemas.openxmlformats.org/spreadsheetml/2006/main" count="558" uniqueCount="293">
  <si>
    <t>No ROPS</t>
  </si>
  <si>
    <t>CHOICE</t>
  </si>
  <si>
    <t>OUTCOME</t>
  </si>
  <si>
    <t>Death</t>
  </si>
  <si>
    <t>Pr_d=</t>
  </si>
  <si>
    <t>well</t>
  </si>
  <si>
    <t>EVENT</t>
  </si>
  <si>
    <t>CONSEQUENCE</t>
  </si>
  <si>
    <t>Probability</t>
  </si>
  <si>
    <t>Of death</t>
  </si>
  <si>
    <r>
      <t>Pr_d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=</t>
    </r>
  </si>
  <si>
    <t>Disability</t>
  </si>
  <si>
    <t>Outpatient</t>
  </si>
  <si>
    <t>No injury</t>
  </si>
  <si>
    <t>Hospitalized</t>
  </si>
  <si>
    <t>minor</t>
  </si>
  <si>
    <t>Of hospitalization and no permanent disability</t>
  </si>
  <si>
    <t>Of permanent disability</t>
  </si>
  <si>
    <t>Of outpatient care of a minor injury</t>
  </si>
  <si>
    <t>Intervention</t>
  </si>
  <si>
    <t>TOTAL</t>
  </si>
  <si>
    <t>Discount rate</t>
  </si>
  <si>
    <t>Time Horizon</t>
  </si>
  <si>
    <t>years</t>
  </si>
  <si>
    <t>in social policy, 3% is typically used</t>
  </si>
  <si>
    <t>DEATH</t>
  </si>
  <si>
    <t>DISABILITY</t>
  </si>
  <si>
    <t>OUTPATIENT</t>
  </si>
  <si>
    <t>COSTS</t>
  </si>
  <si>
    <t>Discount Rate</t>
  </si>
  <si>
    <t>INJURIES</t>
  </si>
  <si>
    <t>NET COST</t>
  </si>
  <si>
    <t>per injury averted</t>
  </si>
  <si>
    <t>Source</t>
  </si>
  <si>
    <t>Case description</t>
  </si>
  <si>
    <t>Pr_f=</t>
  </si>
  <si>
    <r>
      <t>Pr_f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=</t>
    </r>
  </si>
  <si>
    <t>Pr_h=</t>
  </si>
  <si>
    <t>Pr_i=</t>
  </si>
  <si>
    <r>
      <t>Pr_h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=</t>
    </r>
  </si>
  <si>
    <r>
      <t>Pr_i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=</t>
    </r>
  </si>
  <si>
    <t>Case description (Could be changed to demostrate sensitivity analysis)</t>
  </si>
  <si>
    <t>MAIS 6</t>
  </si>
  <si>
    <t>critical/severe</t>
  </si>
  <si>
    <t>serious/moderate</t>
  </si>
  <si>
    <t>injury, MAIS 5</t>
  </si>
  <si>
    <t>injury, MAIS 3</t>
  </si>
  <si>
    <t>injury, MAIS 1</t>
  </si>
  <si>
    <t>fatal</t>
  </si>
  <si>
    <t>MAIS</t>
  </si>
  <si>
    <t>fatal, 6</t>
  </si>
  <si>
    <t>www.bls.gov/cpi/home.htm</t>
  </si>
  <si>
    <t xml:space="preserve">in </t>
  </si>
  <si>
    <t>has the same buying power as</t>
  </si>
  <si>
    <t>Inflation adjusted</t>
  </si>
  <si>
    <t>in 2004</t>
  </si>
  <si>
    <t>Inflation Calculator</t>
  </si>
  <si>
    <r>
      <t>Pr_d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=</t>
    </r>
  </si>
  <si>
    <r>
      <t>Pr_f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=</t>
    </r>
  </si>
  <si>
    <r>
      <t>Pr_i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=</t>
    </r>
  </si>
  <si>
    <r>
      <t>Pr_h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=</t>
    </r>
  </si>
  <si>
    <t xml:space="preserve">www.nhtsa.dot.gov/people/economic/econimpact2000/appendix_a.htm </t>
  </si>
  <si>
    <t>deaths</t>
  </si>
  <si>
    <t>disabilities</t>
  </si>
  <si>
    <t>ROPS</t>
  </si>
  <si>
    <t>Hospitalization</t>
  </si>
  <si>
    <t>No Injury</t>
  </si>
  <si>
    <t>Cost</t>
  </si>
  <si>
    <t>Plus Inflation</t>
  </si>
  <si>
    <t>Direct Costs</t>
  </si>
  <si>
    <t>Farm</t>
  </si>
  <si>
    <t>Sub-Total</t>
  </si>
  <si>
    <t>Society</t>
  </si>
  <si>
    <t>BREAK-EVEN POINT</t>
  </si>
  <si>
    <t>Fill in</t>
  </si>
  <si>
    <t xml:space="preserve">GO TO: </t>
  </si>
  <si>
    <t>TOTAL INJURY COST</t>
  </si>
  <si>
    <t>fill in this value from the web site</t>
  </si>
  <si>
    <r>
      <t>1-sum(Pr_f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:Pr_i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)=</t>
    </r>
  </si>
  <si>
    <r>
      <t>1-sum(Pr_f</t>
    </r>
    <r>
      <rPr>
        <sz val="10"/>
        <rFont val="Arial"/>
        <family val="0"/>
      </rPr>
      <t>:Pr_i</t>
    </r>
    <r>
      <rPr>
        <sz val="10"/>
        <rFont val="Arial"/>
        <family val="0"/>
      </rPr>
      <t>)=</t>
    </r>
  </si>
  <si>
    <t>unit</t>
  </si>
  <si>
    <t>cost/unit</t>
  </si>
  <si>
    <t>no. units</t>
  </si>
  <si>
    <t>ea</t>
  </si>
  <si>
    <t>Intervention Cost</t>
  </si>
  <si>
    <t>Total</t>
  </si>
  <si>
    <t>Injury Cost</t>
  </si>
  <si>
    <t>Type of Cost</t>
  </si>
  <si>
    <t>HOSPITALIZED</t>
  </si>
  <si>
    <t>Hosptalized</t>
  </si>
  <si>
    <t>COST EFFECTIVENESS</t>
  </si>
  <si>
    <t>BENEFIT/COST RATIO</t>
  </si>
  <si>
    <t xml:space="preserve">Benefit </t>
  </si>
  <si>
    <t>Indirect Costs (production)</t>
  </si>
  <si>
    <t>Ratio (Benefit/Cost)</t>
  </si>
  <si>
    <t>months</t>
  </si>
  <si>
    <t>Social</t>
  </si>
  <si>
    <t>Cost Schedule</t>
  </si>
  <si>
    <t>Injury Data Base Year</t>
  </si>
  <si>
    <t xml:space="preserve">  Insurance payment</t>
  </si>
  <si>
    <t>TOTAL INTERVENTION COST</t>
  </si>
  <si>
    <t>intervention cost</t>
  </si>
  <si>
    <t>injury cost</t>
  </si>
  <si>
    <t>implicit</t>
  </si>
  <si>
    <t>explicit</t>
  </si>
  <si>
    <t>INJURY TOTAL</t>
  </si>
  <si>
    <t>hospitalizations</t>
  </si>
  <si>
    <t>outpatients</t>
  </si>
  <si>
    <t>Ratio</t>
  </si>
  <si>
    <t>Percentage</t>
  </si>
  <si>
    <t>In juries Averted</t>
  </si>
  <si>
    <t>Injury Severity</t>
  </si>
  <si>
    <t>Drawings: University of Kentucky</t>
  </si>
  <si>
    <t>Wear Helmet</t>
  </si>
  <si>
    <t>Fall</t>
  </si>
  <si>
    <t>No Fall</t>
  </si>
  <si>
    <t>Without a Helmet</t>
  </si>
  <si>
    <t>With a Helmet</t>
  </si>
  <si>
    <t>Supervision</t>
  </si>
  <si>
    <t>Helmet purchase</t>
  </si>
  <si>
    <t>see web page below for helmet cost</t>
  </si>
  <si>
    <t>Household</t>
  </si>
  <si>
    <t>Helmet</t>
  </si>
  <si>
    <t>Effectiveness of a helmet to prevent a head injury</t>
  </si>
  <si>
    <t>Of a fall from a horse</t>
  </si>
  <si>
    <t>No Helmet</t>
  </si>
  <si>
    <t>hrs/yr</t>
  </si>
  <si>
    <t>Present Value of Supervision</t>
  </si>
  <si>
    <t>Total cost of supervision</t>
  </si>
  <si>
    <t>Cost Factor</t>
  </si>
  <si>
    <t>First Year</t>
  </si>
  <si>
    <t>Annual Cost After First Year</t>
  </si>
  <si>
    <t>Injury Care</t>
  </si>
  <si>
    <t>days</t>
  </si>
  <si>
    <t xml:space="preserve">  First Year Cost</t>
  </si>
  <si>
    <t xml:space="preserve">  Present Value of Future Costs</t>
  </si>
  <si>
    <t xml:space="preserve">  Insurance Coverage</t>
  </si>
  <si>
    <t>Equipment Replacement</t>
  </si>
  <si>
    <t>Wheelchair</t>
  </si>
  <si>
    <t>Physician Visits</t>
  </si>
  <si>
    <t>visits</t>
  </si>
  <si>
    <t>weeks</t>
  </si>
  <si>
    <t>Hospital Observation</t>
  </si>
  <si>
    <t>Emergency Care</t>
  </si>
  <si>
    <t>case</t>
  </si>
  <si>
    <t>Critical Care (coma)</t>
  </si>
  <si>
    <t>each</t>
  </si>
  <si>
    <t>hours</t>
  </si>
  <si>
    <t xml:space="preserve">  Lost Contract for Rick</t>
  </si>
  <si>
    <t>lessons</t>
  </si>
  <si>
    <t xml:space="preserve">  Elizabeth Unemployed</t>
  </si>
  <si>
    <t>Heather's Experience</t>
  </si>
  <si>
    <t xml:space="preserve">  Lost time for Dan, first year</t>
  </si>
  <si>
    <t xml:space="preserve">  Lost time for Dan, future years</t>
  </si>
  <si>
    <t>Home Hospital Bed</t>
  </si>
  <si>
    <t>"No Helmet" minus "Wear Helmet" Injuries = Injuries Averted</t>
  </si>
  <si>
    <t>Injuries Averted</t>
  </si>
  <si>
    <t>Nuerologist</t>
  </si>
  <si>
    <t>Heather's Lifetime Care</t>
  </si>
  <si>
    <t>per year</t>
  </si>
  <si>
    <t>after first year</t>
  </si>
  <si>
    <t>years until Heather is 18</t>
  </si>
  <si>
    <t>Likelihood of falling from a horse</t>
  </si>
  <si>
    <t>Hours of riding time per year</t>
  </si>
  <si>
    <t>/year</t>
  </si>
  <si>
    <t>injury</t>
  </si>
  <si>
    <t>no injury</t>
  </si>
  <si>
    <t>per 100,000 horse</t>
  </si>
  <si>
    <t xml:space="preserve"> riders per year</t>
  </si>
  <si>
    <t>© Melvin L. Myers, 2005</t>
  </si>
  <si>
    <t>Heather's Family</t>
  </si>
  <si>
    <t>Society (Heather's Injury)</t>
  </si>
  <si>
    <t xml:space="preserve">  Sold horse</t>
  </si>
  <si>
    <t>horse</t>
  </si>
  <si>
    <t>Out-of-pocket</t>
  </si>
  <si>
    <t>Medicaid</t>
  </si>
  <si>
    <t xml:space="preserve">  Social Security Disability</t>
  </si>
  <si>
    <t xml:space="preserve">  Medicaid</t>
  </si>
  <si>
    <t>Social Security Disability Insurance</t>
  </si>
  <si>
    <t>Private insurance</t>
  </si>
  <si>
    <t>Medications</t>
  </si>
  <si>
    <t>yr</t>
  </si>
  <si>
    <t>Long-term care</t>
  </si>
  <si>
    <t>year</t>
  </si>
  <si>
    <t>Rehabilitation Care</t>
  </si>
  <si>
    <t>In-Home/Nursing Care</t>
  </si>
  <si>
    <t>Supplies</t>
  </si>
  <si>
    <t>Private Insurance</t>
  </si>
  <si>
    <t xml:space="preserve">Probabilities of Traumatic Brain Injury </t>
  </si>
  <si>
    <t>Supervision (by Dan)</t>
  </si>
  <si>
    <t>Likelihood of falling from a horse while riding</t>
  </si>
  <si>
    <t>risk of falling per riding hour</t>
  </si>
  <si>
    <t>Pr_b=</t>
  </si>
  <si>
    <t>1-Pr_b=</t>
  </si>
  <si>
    <r>
      <t>1-Pr_b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=</t>
    </r>
  </si>
  <si>
    <r>
      <t>Pr_b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=</t>
    </r>
  </si>
  <si>
    <t>WORKSHEET 1--Heather's Care</t>
  </si>
  <si>
    <t>WORKSHEET 5--Intervention Cost</t>
  </si>
  <si>
    <t>discounted</t>
  </si>
  <si>
    <t>undiscounted</t>
  </si>
  <si>
    <t>WORKSHEET 3--Life Care Cost</t>
  </si>
  <si>
    <t>WORKSHEET 4--Cost Distribution</t>
  </si>
  <si>
    <t>WORKSHEET 6--5-Year Cost</t>
  </si>
  <si>
    <t>WORKSHEET 7--Discounted Cost</t>
  </si>
  <si>
    <t>WORKSHEET 2--Annual Costs</t>
  </si>
  <si>
    <t>per year (2000 hours)</t>
  </si>
  <si>
    <t>WORKSHEET 14, Page 2</t>
  </si>
  <si>
    <t>Hours</t>
  </si>
  <si>
    <t>Riding Time</t>
  </si>
  <si>
    <t>Rest of Year</t>
  </si>
  <si>
    <t>Dan's borrowed money to pay for Heather's Care in the first year</t>
  </si>
  <si>
    <t>Interest charged on the borrowed money</t>
  </si>
  <si>
    <t>Interest cost for the first year</t>
  </si>
  <si>
    <t xml:space="preserve">  Interest on borrowed money</t>
  </si>
  <si>
    <t>Others (Social minus Household)</t>
  </si>
  <si>
    <t>WORKSHEET 11--Fall Likelihood</t>
  </si>
  <si>
    <t>WORKSHEET 12--Exposure (Hours)</t>
  </si>
  <si>
    <t>WORKSHEET 13--Helmet Effectiveness</t>
  </si>
  <si>
    <t>WORKSHEET 15--DecisionTree</t>
  </si>
  <si>
    <t>WORKSHEET 17--Discounting Future Dollars</t>
  </si>
  <si>
    <t>WORKSHEET 19--Break-Even Analysis</t>
  </si>
  <si>
    <t>Dollars</t>
  </si>
  <si>
    <t>Drawing: University of Kentucky</t>
  </si>
  <si>
    <r>
      <t xml:space="preserve">Use </t>
    </r>
    <r>
      <rPr>
        <i/>
        <sz val="10"/>
        <rFont val="Arial"/>
        <family val="2"/>
      </rPr>
      <t xml:space="preserve">Comprehensive figures </t>
    </r>
    <r>
      <rPr>
        <sz val="10"/>
        <rFont val="Arial"/>
        <family val="2"/>
      </rPr>
      <t>from:</t>
    </r>
  </si>
  <si>
    <t>Social Security Insurance</t>
  </si>
  <si>
    <t xml:space="preserve">times per </t>
  </si>
  <si>
    <t>Drawing: University of Washington</t>
  </si>
  <si>
    <t>Kentucky Statewide</t>
  </si>
  <si>
    <t>after her traumatic brain injury?</t>
  </si>
  <si>
    <t>Neurologist</t>
  </si>
  <si>
    <t>for the rest of her life?</t>
  </si>
  <si>
    <t xml:space="preserve">Drawing: </t>
  </si>
  <si>
    <t xml:space="preserve">  University of Kentucky</t>
  </si>
  <si>
    <t>over her lifetime?</t>
  </si>
  <si>
    <t>while Heather was a minor?</t>
  </si>
  <si>
    <t>They are worth</t>
  </si>
  <si>
    <t>less</t>
  </si>
  <si>
    <t>cost for the 5-year period?</t>
  </si>
  <si>
    <t>for Heather’s injury?</t>
  </si>
  <si>
    <t>wear helmet</t>
  </si>
  <si>
    <t>no helmet</t>
  </si>
  <si>
    <t>on the decision tree?</t>
  </si>
  <si>
    <t>alternative differ from the sum of deaths for the No Helmet alternative?</t>
  </si>
  <si>
    <t>Are they more than 8 times less?</t>
  </si>
  <si>
    <t>yes</t>
  </si>
  <si>
    <t>would be averted per year by always wearing a riding helmet?</t>
  </si>
  <si>
    <t>Do the costs inflate over time?</t>
  </si>
  <si>
    <t>Is today's dollar worth more than tomorrow's dollar?</t>
  </si>
  <si>
    <t>Does it diminish the value of life?</t>
  </si>
  <si>
    <t>the potential of a head injury by falling from a horse appear trivial?</t>
  </si>
  <si>
    <t>appear acceptable?</t>
  </si>
  <si>
    <t xml:space="preserve"> statistical analyses and the Heather’s Experience? Is it higher?</t>
  </si>
  <si>
    <r>
      <t xml:space="preserve">Does it </t>
    </r>
    <r>
      <rPr>
        <b/>
        <i/>
        <u val="single"/>
        <sz val="12"/>
        <rFont val="Times New Roman"/>
        <family val="1"/>
      </rPr>
      <t>increase</t>
    </r>
    <r>
      <rPr>
        <b/>
        <i/>
        <sz val="12"/>
        <rFont val="Times New Roman"/>
        <family val="1"/>
      </rPr>
      <t xml:space="preserve"> or </t>
    </r>
    <r>
      <rPr>
        <b/>
        <i/>
        <u val="single"/>
        <sz val="12"/>
        <rFont val="Times New Roman"/>
        <family val="1"/>
      </rPr>
      <t>decrease</t>
    </r>
    <r>
      <rPr>
        <b/>
        <i/>
        <sz val="12"/>
        <rFont val="Times New Roman"/>
        <family val="1"/>
      </rPr>
      <t>?</t>
    </r>
  </si>
  <si>
    <r>
      <t>Question 1.1</t>
    </r>
    <r>
      <rPr>
        <b/>
        <i/>
        <sz val="12"/>
        <rFont val="Times New Roman"/>
        <family val="1"/>
      </rPr>
      <t xml:space="preserve"> What was the total cost of Heather’s medical care in the first year  </t>
    </r>
  </si>
  <si>
    <r>
      <t>QUESTION 1.2.</t>
    </r>
    <r>
      <rPr>
        <b/>
        <i/>
        <sz val="12"/>
        <rFont val="Times New Roman"/>
        <family val="1"/>
      </rPr>
      <t xml:space="preserve"> What is the cost per year of Heather’s medical care  </t>
    </r>
  </si>
  <si>
    <r>
      <t>QUESTION 1.4.</t>
    </r>
    <r>
      <rPr>
        <b/>
        <i/>
        <sz val="12"/>
        <rFont val="Times New Roman"/>
        <family val="1"/>
      </rPr>
      <t xml:space="preserve"> Look at Rick’s charts; what will pay the most for Heather’s care </t>
    </r>
  </si>
  <si>
    <r>
      <t>QUESTION 1.5.</t>
    </r>
    <r>
      <rPr>
        <b/>
        <i/>
        <sz val="12"/>
        <rFont val="Times New Roman"/>
        <family val="1"/>
      </rPr>
      <t xml:space="preserve"> Which costs more, the helmet or the supervision? </t>
    </r>
  </si>
  <si>
    <r>
      <t>QUESTION 1.6.</t>
    </r>
    <r>
      <rPr>
        <b/>
        <i/>
        <sz val="12"/>
        <rFont val="Times New Roman"/>
        <family val="1"/>
      </rPr>
      <t xml:space="preserve"> What would the total cost be of supervision  </t>
    </r>
  </si>
  <si>
    <r>
      <t>QUESTION 1.7.</t>
    </r>
    <r>
      <rPr>
        <b/>
        <i/>
        <sz val="12"/>
        <rFont val="Times New Roman"/>
        <family val="1"/>
      </rPr>
      <t xml:space="preserve"> How have future dollars been affected when discounted? </t>
    </r>
  </si>
  <si>
    <r>
      <t>QUESTION 2.1.</t>
    </r>
    <r>
      <rPr>
        <b/>
        <i/>
        <sz val="12"/>
        <rFont val="Times New Roman"/>
        <family val="1"/>
      </rPr>
      <t xml:space="preserve"> How does the potential for “no injury” change when a rider wears a helmet? </t>
    </r>
  </si>
  <si>
    <r>
      <t>QUESTION 2.2.</t>
    </r>
    <r>
      <rPr>
        <b/>
        <i/>
        <sz val="12"/>
        <rFont val="Times New Roman"/>
        <family val="1"/>
      </rPr>
      <t xml:space="preserve"> What are the two alternatives considered on this decision tree? </t>
    </r>
  </si>
  <si>
    <r>
      <t>QUESTION 3.1.</t>
    </r>
    <r>
      <rPr>
        <b/>
        <i/>
        <sz val="12"/>
        <rFont val="Times New Roman"/>
        <family val="1"/>
      </rPr>
      <t xml:space="preserve"> Observe the chart. What effect does inflation have on these costs?</t>
    </r>
  </si>
  <si>
    <r>
      <t>QUESTION 3.2.</t>
    </r>
    <r>
      <rPr>
        <b/>
        <i/>
        <sz val="12"/>
        <rFont val="Times New Roman"/>
        <family val="1"/>
      </rPr>
      <t xml:space="preserve"> How does the discount rate affect the time value of money? </t>
    </r>
  </si>
  <si>
    <r>
      <t>QUESTION 3.3.</t>
    </r>
    <r>
      <rPr>
        <b/>
        <i/>
        <sz val="12"/>
        <rFont val="Times New Roman"/>
        <family val="1"/>
      </rPr>
      <t xml:space="preserve"> Looking at the chart, what effect does the discount rate have? </t>
    </r>
  </si>
  <si>
    <r>
      <t>QUESTION 3.6.</t>
    </r>
    <r>
      <rPr>
        <b/>
        <i/>
        <sz val="12"/>
        <rFont val="Times New Roman"/>
        <family val="1"/>
      </rPr>
      <t xml:space="preserve"> Does the break-even point for the interventions to pay for themselves  </t>
    </r>
  </si>
  <si>
    <r>
      <t>QUESTION 2.3.</t>
    </r>
    <r>
      <rPr>
        <b/>
        <i/>
        <sz val="12"/>
        <rFont val="Times New Roman"/>
        <family val="1"/>
      </rPr>
      <t xml:space="preserve"> What is the common sum of each set of branches   </t>
    </r>
  </si>
  <si>
    <t>/5 years</t>
  </si>
  <si>
    <t>Value of Annual Cost</t>
  </si>
  <si>
    <t>Total Value</t>
  </si>
  <si>
    <r>
      <t>QUESTION 1.3.</t>
    </r>
    <r>
      <rPr>
        <b/>
        <i/>
        <sz val="12"/>
        <rFont val="Times New Roman"/>
        <family val="1"/>
      </rPr>
      <t xml:space="preserve"> What is the total value (cost) of Heather’s  </t>
    </r>
  </si>
  <si>
    <t>Kentucky</t>
  </si>
  <si>
    <t>Experience</t>
  </si>
  <si>
    <t>WORKSHEET 6--Interest on Borrowed Money</t>
  </si>
  <si>
    <t>WORKSHEET 7--Injury Cost Distribution</t>
  </si>
  <si>
    <t>WORKSHEET 8--Cost Type</t>
  </si>
  <si>
    <t>WORKSHEET 9--Probabilities</t>
  </si>
  <si>
    <t>WORKSHEET 11--Schedule and Inflation</t>
  </si>
  <si>
    <t>WORKSHEET 12--Cost Effectiveness Analysis</t>
  </si>
  <si>
    <t>WORKSHEET 13--Benefit/Cost Analysis</t>
  </si>
  <si>
    <r>
      <t>QUESTION 1.6.</t>
    </r>
    <r>
      <rPr>
        <b/>
        <i/>
        <sz val="12"/>
        <rFont val="Times New Roman"/>
        <family val="1"/>
      </rPr>
      <t xml:space="preserve"> If the loan is not paid in five years, what is to total interest</t>
    </r>
  </si>
  <si>
    <r>
      <t>QUESTION 2.2.</t>
    </r>
    <r>
      <rPr>
        <b/>
        <i/>
        <sz val="12"/>
        <rFont val="Times New Roman"/>
        <family val="1"/>
      </rPr>
      <t xml:space="preserve"> How do the sum of the deaths in the Wear Helmet </t>
    </r>
  </si>
  <si>
    <r>
      <t>QUESTION 2.3.</t>
    </r>
    <r>
      <rPr>
        <b/>
        <i/>
        <sz val="12"/>
        <rFont val="Times New Roman"/>
        <family val="1"/>
      </rPr>
      <t xml:space="preserve"> When calculated per 100,000 people, how many injuries</t>
    </r>
  </si>
  <si>
    <r>
      <t>QUESTION 3.4.</t>
    </r>
    <r>
      <rPr>
        <b/>
        <i/>
        <sz val="10"/>
        <rFont val="Times New Roman"/>
        <family val="1"/>
      </rPr>
      <t xml:space="preserve"> How does the benefit/cost ratio compare between Rick’s Kentucky-wide </t>
    </r>
  </si>
  <si>
    <t xml:space="preserve">preventing overturn-related injuries on their farm? </t>
  </si>
  <si>
    <r>
      <t>QUESTION 3.5.</t>
    </r>
    <r>
      <rPr>
        <b/>
        <i/>
        <sz val="10"/>
        <rFont val="Times New Roman"/>
        <family val="1"/>
      </rPr>
      <t xml:space="preserve"> Given Heather’s Experience, does society have an economic stake in </t>
    </r>
  </si>
  <si>
    <t>medical care for her lifetime?</t>
  </si>
  <si>
    <t xml:space="preserve">  Heather Unable to Work</t>
  </si>
  <si>
    <r>
      <t>QUESTION 1.7.</t>
    </r>
    <r>
      <rPr>
        <b/>
        <i/>
        <sz val="12"/>
        <rFont val="Times New Roman"/>
        <family val="1"/>
      </rPr>
      <t xml:space="preserve"> Does Dan’s household or do others in society pay more</t>
    </r>
  </si>
  <si>
    <r>
      <t>QUESTION 1.8.</t>
    </r>
    <r>
      <rPr>
        <b/>
        <i/>
        <sz val="12"/>
        <rFont val="Times New Roman"/>
        <family val="1"/>
      </rPr>
      <t xml:space="preserve"> Is the cost of supervision an implicit of explicit cost? </t>
    </r>
  </si>
  <si>
    <t xml:space="preserve">Is the cost of the helmet an implicit of explicit cost? </t>
  </si>
  <si>
    <t>WORKSHEET 10, Injuries Averted</t>
  </si>
  <si>
    <r>
      <t>QUESTION 3.2</t>
    </r>
    <r>
      <rPr>
        <b/>
        <i/>
        <sz val="11"/>
        <rFont val="Times New Roman"/>
        <family val="1"/>
      </rPr>
      <t xml:space="preserve">. Are the NET COST results a cost or a savings? </t>
    </r>
  </si>
  <si>
    <r>
      <t>QUESTION 3.3.</t>
    </r>
    <r>
      <rPr>
        <b/>
        <i/>
        <sz val="11"/>
        <rFont val="Times New Roman"/>
        <family val="1"/>
      </rPr>
      <t xml:space="preserve"> Looking at the cost-effectiveness results, do the injury costs expected from 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</si>
</sst>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0000"/>
    <numFmt numFmtId="168" formatCode="#,##0.000000"/>
    <numFmt numFmtId="169" formatCode="&quot;$&quot;#,##0.00000"/>
    <numFmt numFmtId="170" formatCode="0.00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$&quot;#,##0.0"/>
    <numFmt numFmtId="176" formatCode="0.00000%"/>
    <numFmt numFmtId="177" formatCode="0.000%"/>
    <numFmt numFmtId="178" formatCode="0.00000"/>
    <numFmt numFmtId="179" formatCode="#,##0.0"/>
    <numFmt numFmtId="180" formatCode="0.0"/>
    <numFmt numFmtId="181" formatCode="0.000000000"/>
    <numFmt numFmtId="182" formatCode="0.0000000000"/>
    <numFmt numFmtId="183" formatCode="0.0000%"/>
    <numFmt numFmtId="184" formatCode="0.0000"/>
    <numFmt numFmtId="185" formatCode="0.000"/>
    <numFmt numFmtId="186" formatCode="0.000000"/>
  </numFmts>
  <fonts count="77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75"/>
      <name val="Arial"/>
      <family val="0"/>
    </font>
    <font>
      <b/>
      <sz val="10.5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0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0"/>
    </font>
    <font>
      <b/>
      <sz val="12"/>
      <name val="Arial"/>
      <family val="0"/>
    </font>
    <font>
      <sz val="11"/>
      <color indexed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0"/>
    </font>
    <font>
      <sz val="10"/>
      <color indexed="12"/>
      <name val="Arial"/>
      <family val="2"/>
    </font>
    <font>
      <u val="single"/>
      <sz val="11"/>
      <color indexed="10"/>
      <name val="Arial"/>
      <family val="0"/>
    </font>
    <font>
      <b/>
      <u val="single"/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  <font>
      <sz val="12"/>
      <name val="Arial"/>
      <family val="2"/>
    </font>
    <font>
      <b/>
      <sz val="11.5"/>
      <name val="Arial"/>
      <family val="0"/>
    </font>
    <font>
      <sz val="11.5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b/>
      <sz val="10.75"/>
      <name val="Arial"/>
      <family val="0"/>
    </font>
    <font>
      <sz val="9"/>
      <name val="Arial"/>
      <family val="0"/>
    </font>
    <font>
      <b/>
      <sz val="14.5"/>
      <name val="Arial"/>
      <family val="0"/>
    </font>
    <font>
      <sz val="10.75"/>
      <name val="Arial"/>
      <family val="0"/>
    </font>
    <font>
      <b/>
      <u val="single"/>
      <sz val="11"/>
      <color indexed="12"/>
      <name val="Arial"/>
      <family val="2"/>
    </font>
    <font>
      <sz val="10"/>
      <color indexed="46"/>
      <name val="Arial"/>
      <family val="2"/>
    </font>
    <font>
      <b/>
      <sz val="11"/>
      <color indexed="12"/>
      <name val="Arial"/>
      <family val="2"/>
    </font>
    <font>
      <b/>
      <sz val="15"/>
      <name val="Arial"/>
      <family val="0"/>
    </font>
    <font>
      <b/>
      <sz val="15.5"/>
      <name val="Arial"/>
      <family val="0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4.75"/>
      <name val="Arial"/>
      <family val="0"/>
    </font>
    <font>
      <sz val="11.75"/>
      <name val="Arial"/>
      <family val="0"/>
    </font>
    <font>
      <b/>
      <sz val="11.75"/>
      <name val="Arial"/>
      <family val="0"/>
    </font>
    <font>
      <sz val="11.25"/>
      <name val="Arial"/>
      <family val="0"/>
    </font>
    <font>
      <b/>
      <i/>
      <sz val="10"/>
      <name val="Arial"/>
      <family val="2"/>
    </font>
    <font>
      <b/>
      <sz val="8.5"/>
      <color indexed="10"/>
      <name val="Arial"/>
      <family val="2"/>
    </font>
    <font>
      <b/>
      <i/>
      <sz val="11"/>
      <name val="Arial"/>
      <family val="2"/>
    </font>
    <font>
      <b/>
      <i/>
      <sz val="11"/>
      <color indexed="9"/>
      <name val="Arial"/>
      <family val="2"/>
    </font>
    <font>
      <b/>
      <sz val="12"/>
      <name val="Times New Roman"/>
      <family val="1"/>
    </font>
    <font>
      <b/>
      <i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2"/>
      <name val="Times New Roman"/>
      <family val="1"/>
    </font>
    <font>
      <sz val="12"/>
      <color indexed="12"/>
      <name val="Arial"/>
      <family val="0"/>
    </font>
    <font>
      <sz val="8"/>
      <name val="Tahoma"/>
      <family val="0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i/>
      <sz val="12"/>
      <name val="Times New Roman"/>
      <family val="1"/>
    </font>
    <font>
      <b/>
      <sz val="12"/>
      <name val="Tahoma"/>
      <family val="2"/>
    </font>
    <font>
      <b/>
      <i/>
      <u val="single"/>
      <sz val="12"/>
      <name val="Times New Roman"/>
      <family val="1"/>
    </font>
    <font>
      <b/>
      <i/>
      <sz val="12"/>
      <color indexed="12"/>
      <name val="Arial"/>
      <family val="2"/>
    </font>
    <font>
      <b/>
      <i/>
      <sz val="12"/>
      <color indexed="10"/>
      <name val="Times New Roman"/>
      <family val="1"/>
    </font>
    <font>
      <b/>
      <sz val="9"/>
      <name val="Tahoma"/>
      <family val="2"/>
    </font>
    <font>
      <b/>
      <u val="single"/>
      <sz val="10"/>
      <color indexed="9"/>
      <name val="Arial"/>
      <family val="0"/>
    </font>
    <font>
      <b/>
      <i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53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0" fillId="4" borderId="3" xfId="0" applyFill="1" applyBorder="1" applyAlignment="1">
      <alignment/>
    </xf>
    <xf numFmtId="165" fontId="0" fillId="0" borderId="0" xfId="0" applyNumberFormat="1" applyAlignment="1">
      <alignment/>
    </xf>
    <xf numFmtId="165" fontId="0" fillId="4" borderId="3" xfId="0" applyNumberFormat="1" applyFill="1" applyBorder="1" applyAlignment="1">
      <alignment/>
    </xf>
    <xf numFmtId="166" fontId="0" fillId="4" borderId="3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1" fillId="3" borderId="0" xfId="0" applyFont="1" applyFill="1" applyAlignment="1">
      <alignment/>
    </xf>
    <xf numFmtId="0" fontId="0" fillId="3" borderId="7" xfId="0" applyFill="1" applyBorder="1" applyAlignment="1">
      <alignment/>
    </xf>
    <xf numFmtId="0" fontId="1" fillId="3" borderId="7" xfId="0" applyFont="1" applyFill="1" applyBorder="1" applyAlignment="1">
      <alignment/>
    </xf>
    <xf numFmtId="0" fontId="3" fillId="3" borderId="0" xfId="0" applyFont="1" applyFill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12" fillId="3" borderId="0" xfId="0" applyFont="1" applyFill="1" applyAlignment="1">
      <alignment/>
    </xf>
    <xf numFmtId="0" fontId="0" fillId="3" borderId="5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165" fontId="10" fillId="5" borderId="3" xfId="0" applyNumberFormat="1" applyFont="1" applyFill="1" applyBorder="1" applyAlignment="1">
      <alignment/>
    </xf>
    <xf numFmtId="165" fontId="0" fillId="0" borderId="7" xfId="0" applyNumberFormat="1" applyBorder="1" applyAlignment="1">
      <alignment/>
    </xf>
    <xf numFmtId="0" fontId="10" fillId="5" borderId="10" xfId="0" applyFont="1" applyFill="1" applyBorder="1" applyAlignment="1">
      <alignment/>
    </xf>
    <xf numFmtId="165" fontId="0" fillId="5" borderId="0" xfId="0" applyNumberFormat="1" applyFill="1" applyAlignment="1">
      <alignment/>
    </xf>
    <xf numFmtId="165" fontId="0" fillId="5" borderId="11" xfId="0" applyNumberForma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4" xfId="0" applyFont="1" applyFill="1" applyBorder="1" applyAlignment="1">
      <alignment horizontal="left"/>
    </xf>
    <xf numFmtId="0" fontId="0" fillId="5" borderId="6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 horizontal="left"/>
    </xf>
    <xf numFmtId="0" fontId="0" fillId="3" borderId="0" xfId="0" applyFill="1" applyBorder="1" applyAlignment="1">
      <alignment horizontal="right"/>
    </xf>
    <xf numFmtId="165" fontId="0" fillId="5" borderId="0" xfId="0" applyNumberFormat="1" applyFont="1" applyFill="1" applyBorder="1" applyAlignment="1">
      <alignment/>
    </xf>
    <xf numFmtId="0" fontId="15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177" fontId="0" fillId="5" borderId="0" xfId="0" applyNumberFormat="1" applyFill="1" applyBorder="1" applyAlignment="1">
      <alignment/>
    </xf>
    <xf numFmtId="0" fontId="0" fillId="5" borderId="0" xfId="0" applyFill="1" applyBorder="1" applyAlignment="1">
      <alignment horizontal="center"/>
    </xf>
    <xf numFmtId="0" fontId="16" fillId="3" borderId="7" xfId="0" applyFont="1" applyFill="1" applyBorder="1" applyAlignment="1">
      <alignment/>
    </xf>
    <xf numFmtId="0" fontId="16" fillId="0" borderId="7" xfId="0" applyFont="1" applyBorder="1" applyAlignment="1">
      <alignment/>
    </xf>
    <xf numFmtId="0" fontId="1" fillId="0" borderId="12" xfId="0" applyFont="1" applyBorder="1" applyAlignment="1">
      <alignment horizontal="center"/>
    </xf>
    <xf numFmtId="165" fontId="0" fillId="5" borderId="13" xfId="0" applyNumberFormat="1" applyFill="1" applyBorder="1" applyAlignment="1">
      <alignment/>
    </xf>
    <xf numFmtId="180" fontId="10" fillId="5" borderId="14" xfId="0" applyNumberFormat="1" applyFont="1" applyFill="1" applyBorder="1" applyAlignment="1">
      <alignment/>
    </xf>
    <xf numFmtId="164" fontId="1" fillId="0" borderId="12" xfId="0" applyNumberFormat="1" applyFont="1" applyBorder="1" applyAlignment="1">
      <alignment horizontal="right"/>
    </xf>
    <xf numFmtId="180" fontId="10" fillId="5" borderId="15" xfId="0" applyNumberFormat="1" applyFont="1" applyFill="1" applyBorder="1" applyAlignment="1">
      <alignment horizontal="center"/>
    </xf>
    <xf numFmtId="180" fontId="10" fillId="5" borderId="16" xfId="0" applyNumberFormat="1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177" fontId="0" fillId="4" borderId="3" xfId="0" applyNumberFormat="1" applyFill="1" applyBorder="1" applyAlignment="1">
      <alignment/>
    </xf>
    <xf numFmtId="165" fontId="29" fillId="0" borderId="0" xfId="0" applyNumberFormat="1" applyFont="1" applyBorder="1" applyAlignment="1">
      <alignment/>
    </xf>
    <xf numFmtId="0" fontId="29" fillId="5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8" fillId="3" borderId="0" xfId="0" applyFont="1" applyFill="1" applyAlignment="1">
      <alignment/>
    </xf>
    <xf numFmtId="165" fontId="13" fillId="3" borderId="0" xfId="0" applyNumberFormat="1" applyFont="1" applyFill="1" applyAlignment="1">
      <alignment/>
    </xf>
    <xf numFmtId="0" fontId="0" fillId="3" borderId="0" xfId="0" applyFont="1" applyFill="1" applyBorder="1" applyAlignment="1">
      <alignment/>
    </xf>
    <xf numFmtId="165" fontId="0" fillId="3" borderId="0" xfId="0" applyNumberFormat="1" applyFont="1" applyFill="1" applyBorder="1" applyAlignment="1">
      <alignment/>
    </xf>
    <xf numFmtId="165" fontId="0" fillId="3" borderId="12" xfId="0" applyNumberFormat="1" applyFont="1" applyFill="1" applyBorder="1" applyAlignment="1">
      <alignment/>
    </xf>
    <xf numFmtId="177" fontId="0" fillId="3" borderId="0" xfId="0" applyNumberFormat="1" applyFill="1" applyAlignment="1">
      <alignment/>
    </xf>
    <xf numFmtId="0" fontId="1" fillId="3" borderId="0" xfId="0" applyFont="1" applyFill="1" applyBorder="1" applyAlignment="1">
      <alignment/>
    </xf>
    <xf numFmtId="0" fontId="3" fillId="3" borderId="0" xfId="0" applyFont="1" applyFill="1" applyAlignment="1">
      <alignment horizontal="center"/>
    </xf>
    <xf numFmtId="0" fontId="13" fillId="3" borderId="0" xfId="0" applyFont="1" applyFill="1" applyAlignment="1">
      <alignment/>
    </xf>
    <xf numFmtId="0" fontId="1" fillId="3" borderId="0" xfId="0" applyFont="1" applyFill="1" applyBorder="1" applyAlignment="1">
      <alignment horizontal="center"/>
    </xf>
    <xf numFmtId="165" fontId="0" fillId="3" borderId="0" xfId="0" applyNumberFormat="1" applyFill="1" applyBorder="1" applyAlignment="1">
      <alignment/>
    </xf>
    <xf numFmtId="165" fontId="0" fillId="3" borderId="0" xfId="20" applyNumberFormat="1" applyFont="1" applyFill="1" applyBorder="1" applyAlignment="1">
      <alignment/>
    </xf>
    <xf numFmtId="165" fontId="0" fillId="3" borderId="0" xfId="0" applyNumberFormat="1" applyFill="1" applyAlignment="1">
      <alignment/>
    </xf>
    <xf numFmtId="165" fontId="0" fillId="3" borderId="12" xfId="0" applyNumberFormat="1" applyFill="1" applyBorder="1" applyAlignment="1">
      <alignment/>
    </xf>
    <xf numFmtId="165" fontId="1" fillId="5" borderId="0" xfId="0" applyNumberFormat="1" applyFont="1" applyFill="1" applyBorder="1" applyAlignment="1">
      <alignment/>
    </xf>
    <xf numFmtId="165" fontId="1" fillId="5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26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29" fillId="3" borderId="0" xfId="0" applyFont="1" applyFill="1" applyAlignment="1">
      <alignment/>
    </xf>
    <xf numFmtId="9" fontId="0" fillId="3" borderId="0" xfId="0" applyNumberFormat="1" applyFont="1" applyFill="1" applyBorder="1" applyAlignment="1">
      <alignment/>
    </xf>
    <xf numFmtId="3" fontId="0" fillId="3" borderId="0" xfId="0" applyNumberFormat="1" applyFill="1" applyBorder="1" applyAlignment="1">
      <alignment/>
    </xf>
    <xf numFmtId="0" fontId="0" fillId="3" borderId="0" xfId="0" applyFill="1" applyAlignment="1" quotePrefix="1">
      <alignment/>
    </xf>
    <xf numFmtId="0" fontId="3" fillId="3" borderId="0" xfId="0" applyFont="1" applyFill="1" applyBorder="1" applyAlignment="1">
      <alignment horizontal="center"/>
    </xf>
    <xf numFmtId="165" fontId="0" fillId="3" borderId="0" xfId="0" applyNumberFormat="1" applyFont="1" applyFill="1" applyBorder="1" applyAlignment="1">
      <alignment horizontal="right"/>
    </xf>
    <xf numFmtId="182" fontId="0" fillId="3" borderId="0" xfId="0" applyNumberFormat="1" applyFill="1" applyAlignment="1">
      <alignment/>
    </xf>
    <xf numFmtId="0" fontId="3" fillId="3" borderId="0" xfId="0" applyFont="1" applyFill="1" applyBorder="1" applyAlignment="1">
      <alignment horizontal="left"/>
    </xf>
    <xf numFmtId="0" fontId="17" fillId="3" borderId="0" xfId="0" applyFont="1" applyFill="1" applyAlignment="1">
      <alignment/>
    </xf>
    <xf numFmtId="0" fontId="0" fillId="3" borderId="13" xfId="0" applyFill="1" applyBorder="1" applyAlignment="1">
      <alignment/>
    </xf>
    <xf numFmtId="0" fontId="22" fillId="3" borderId="0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31" fillId="3" borderId="0" xfId="0" applyFont="1" applyFill="1" applyAlignment="1">
      <alignment/>
    </xf>
    <xf numFmtId="182" fontId="0" fillId="3" borderId="0" xfId="0" applyNumberFormat="1" applyFont="1" applyFill="1" applyBorder="1" applyAlignment="1">
      <alignment horizontal="center"/>
    </xf>
    <xf numFmtId="0" fontId="21" fillId="3" borderId="0" xfId="0" applyFont="1" applyFill="1" applyBorder="1" applyAlignment="1">
      <alignment/>
    </xf>
    <xf numFmtId="2" fontId="20" fillId="3" borderId="0" xfId="0" applyNumberFormat="1" applyFont="1" applyFill="1" applyBorder="1" applyAlignment="1">
      <alignment/>
    </xf>
    <xf numFmtId="170" fontId="19" fillId="3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165" fontId="0" fillId="5" borderId="0" xfId="0" applyNumberFormat="1" applyFont="1" applyFill="1" applyAlignment="1">
      <alignment/>
    </xf>
    <xf numFmtId="0" fontId="23" fillId="3" borderId="0" xfId="0" applyFont="1" applyFill="1" applyBorder="1" applyAlignment="1">
      <alignment/>
    </xf>
    <xf numFmtId="0" fontId="24" fillId="3" borderId="0" xfId="0" applyFont="1" applyFill="1" applyBorder="1" applyAlignment="1">
      <alignment horizontal="left"/>
    </xf>
    <xf numFmtId="0" fontId="31" fillId="3" borderId="0" xfId="0" applyFont="1" applyFill="1" applyBorder="1" applyAlignment="1">
      <alignment/>
    </xf>
    <xf numFmtId="0" fontId="21" fillId="3" borderId="0" xfId="0" applyFont="1" applyFill="1" applyBorder="1" applyAlignment="1">
      <alignment horizontal="center"/>
    </xf>
    <xf numFmtId="178" fontId="21" fillId="3" borderId="0" xfId="0" applyNumberFormat="1" applyFont="1" applyFill="1" applyBorder="1" applyAlignment="1">
      <alignment horizontal="center"/>
    </xf>
    <xf numFmtId="0" fontId="21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178" fontId="21" fillId="3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/>
    </xf>
    <xf numFmtId="0" fontId="27" fillId="3" borderId="0" xfId="0" applyFont="1" applyFill="1" applyBorder="1" applyAlignment="1">
      <alignment horizontal="left"/>
    </xf>
    <xf numFmtId="1" fontId="0" fillId="3" borderId="0" xfId="0" applyNumberFormat="1" applyFill="1" applyBorder="1" applyAlignment="1">
      <alignment/>
    </xf>
    <xf numFmtId="0" fontId="30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81" fontId="0" fillId="3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3" fontId="19" fillId="3" borderId="0" xfId="0" applyNumberFormat="1" applyFont="1" applyFill="1" applyBorder="1" applyAlignment="1">
      <alignment horizontal="center"/>
    </xf>
    <xf numFmtId="170" fontId="0" fillId="3" borderId="0" xfId="0" applyNumberFormat="1" applyFont="1" applyFill="1" applyBorder="1" applyAlignment="1">
      <alignment horizontal="center"/>
    </xf>
    <xf numFmtId="180" fontId="18" fillId="3" borderId="0" xfId="0" applyNumberFormat="1" applyFont="1" applyFill="1" applyBorder="1" applyAlignment="1">
      <alignment/>
    </xf>
    <xf numFmtId="2" fontId="0" fillId="3" borderId="0" xfId="0" applyNumberFormat="1" applyFill="1" applyBorder="1" applyAlignment="1">
      <alignment/>
    </xf>
    <xf numFmtId="0" fontId="0" fillId="6" borderId="8" xfId="0" applyFill="1" applyBorder="1" applyAlignment="1">
      <alignment/>
    </xf>
    <xf numFmtId="0" fontId="0" fillId="6" borderId="9" xfId="0" applyFill="1" applyBorder="1" applyAlignment="1">
      <alignment/>
    </xf>
    <xf numFmtId="0" fontId="0" fillId="7" borderId="8" xfId="0" applyFill="1" applyBorder="1" applyAlignment="1">
      <alignment/>
    </xf>
    <xf numFmtId="0" fontId="0" fillId="7" borderId="9" xfId="0" applyFill="1" applyBorder="1" applyAlignment="1">
      <alignment/>
    </xf>
    <xf numFmtId="0" fontId="23" fillId="3" borderId="0" xfId="0" applyFont="1" applyFill="1" applyBorder="1" applyAlignment="1">
      <alignment horizontal="center"/>
    </xf>
    <xf numFmtId="0" fontId="31" fillId="6" borderId="0" xfId="0" applyFont="1" applyFill="1" applyBorder="1" applyAlignment="1">
      <alignment/>
    </xf>
    <xf numFmtId="2" fontId="31" fillId="6" borderId="0" xfId="0" applyNumberFormat="1" applyFont="1" applyFill="1" applyBorder="1" applyAlignment="1">
      <alignment horizontal="center"/>
    </xf>
    <xf numFmtId="0" fontId="31" fillId="6" borderId="0" xfId="0" applyFont="1" applyFill="1" applyBorder="1" applyAlignment="1">
      <alignment horizontal="center"/>
    </xf>
    <xf numFmtId="0" fontId="31" fillId="7" borderId="0" xfId="0" applyFont="1" applyFill="1" applyBorder="1" applyAlignment="1">
      <alignment/>
    </xf>
    <xf numFmtId="2" fontId="31" fillId="7" borderId="0" xfId="0" applyNumberFormat="1" applyFont="1" applyFill="1" applyBorder="1" applyAlignment="1">
      <alignment horizontal="center"/>
    </xf>
    <xf numFmtId="0" fontId="31" fillId="7" borderId="0" xfId="0" applyFont="1" applyFill="1" applyBorder="1" applyAlignment="1">
      <alignment horizontal="center"/>
    </xf>
    <xf numFmtId="164" fontId="1" fillId="5" borderId="12" xfId="0" applyNumberFormat="1" applyFont="1" applyFill="1" applyBorder="1" applyAlignment="1">
      <alignment horizontal="right"/>
    </xf>
    <xf numFmtId="0" fontId="31" fillId="3" borderId="12" xfId="0" applyFont="1" applyFill="1" applyBorder="1" applyAlignment="1">
      <alignment/>
    </xf>
    <xf numFmtId="2" fontId="31" fillId="3" borderId="12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left"/>
    </xf>
    <xf numFmtId="180" fontId="0" fillId="5" borderId="0" xfId="0" applyNumberFormat="1" applyFill="1" applyBorder="1" applyAlignment="1">
      <alignment/>
    </xf>
    <xf numFmtId="165" fontId="0" fillId="5" borderId="19" xfId="0" applyNumberFormat="1" applyFill="1" applyBorder="1" applyAlignment="1">
      <alignment/>
    </xf>
    <xf numFmtId="165" fontId="0" fillId="5" borderId="12" xfId="0" applyNumberFormat="1" applyFill="1" applyBorder="1" applyAlignment="1">
      <alignment/>
    </xf>
    <xf numFmtId="0" fontId="21" fillId="3" borderId="0" xfId="0" applyFont="1" applyFill="1" applyAlignment="1">
      <alignment/>
    </xf>
    <xf numFmtId="164" fontId="21" fillId="4" borderId="3" xfId="0" applyNumberFormat="1" applyFont="1" applyFill="1" applyBorder="1" applyAlignment="1">
      <alignment/>
    </xf>
    <xf numFmtId="3" fontId="0" fillId="4" borderId="3" xfId="0" applyNumberFormat="1" applyFill="1" applyBorder="1" applyAlignment="1">
      <alignment/>
    </xf>
    <xf numFmtId="164" fontId="0" fillId="5" borderId="0" xfId="0" applyNumberFormat="1" applyFill="1" applyBorder="1" applyAlignment="1">
      <alignment/>
    </xf>
    <xf numFmtId="0" fontId="22" fillId="3" borderId="0" xfId="0" applyFont="1" applyFill="1" applyAlignment="1">
      <alignment/>
    </xf>
    <xf numFmtId="0" fontId="28" fillId="3" borderId="0" xfId="0" applyFont="1" applyFill="1" applyAlignment="1">
      <alignment horizontal="center"/>
    </xf>
    <xf numFmtId="0" fontId="0" fillId="3" borderId="0" xfId="0" applyNumberFormat="1" applyFill="1" applyBorder="1" applyAlignment="1">
      <alignment/>
    </xf>
    <xf numFmtId="0" fontId="0" fillId="3" borderId="0" xfId="0" applyNumberFormat="1" applyFill="1" applyAlignment="1">
      <alignment/>
    </xf>
    <xf numFmtId="1" fontId="0" fillId="4" borderId="10" xfId="0" applyNumberFormat="1" applyFill="1" applyBorder="1" applyAlignment="1">
      <alignment/>
    </xf>
    <xf numFmtId="164" fontId="0" fillId="5" borderId="0" xfId="0" applyNumberFormat="1" applyFill="1" applyAlignment="1">
      <alignment/>
    </xf>
    <xf numFmtId="3" fontId="0" fillId="3" borderId="0" xfId="0" applyNumberFormat="1" applyFill="1" applyAlignment="1">
      <alignment/>
    </xf>
    <xf numFmtId="180" fontId="0" fillId="3" borderId="0" xfId="0" applyNumberFormat="1" applyFill="1" applyAlignment="1">
      <alignment/>
    </xf>
    <xf numFmtId="165" fontId="0" fillId="3" borderId="0" xfId="0" applyNumberFormat="1" applyFont="1" applyFill="1" applyAlignment="1">
      <alignment/>
    </xf>
    <xf numFmtId="165" fontId="1" fillId="4" borderId="3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right"/>
    </xf>
    <xf numFmtId="177" fontId="21" fillId="5" borderId="0" xfId="0" applyNumberFormat="1" applyFont="1" applyFill="1" applyBorder="1" applyAlignment="1">
      <alignment/>
    </xf>
    <xf numFmtId="1" fontId="21" fillId="5" borderId="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4" borderId="3" xfId="0" applyFont="1" applyFill="1" applyBorder="1" applyAlignment="1">
      <alignment horizontal="center"/>
    </xf>
    <xf numFmtId="0" fontId="22" fillId="3" borderId="0" xfId="0" applyFont="1" applyFill="1" applyAlignment="1">
      <alignment horizontal="center"/>
    </xf>
    <xf numFmtId="164" fontId="0" fillId="3" borderId="0" xfId="0" applyNumberFormat="1" applyFill="1" applyAlignment="1">
      <alignment/>
    </xf>
    <xf numFmtId="0" fontId="15" fillId="3" borderId="0" xfId="0" applyFont="1" applyFill="1" applyAlignment="1">
      <alignment horizontal="left"/>
    </xf>
    <xf numFmtId="0" fontId="1" fillId="3" borderId="12" xfId="0" applyFont="1" applyFill="1" applyBorder="1" applyAlignment="1">
      <alignment horizontal="center"/>
    </xf>
    <xf numFmtId="0" fontId="21" fillId="3" borderId="0" xfId="0" applyFont="1" applyFill="1" applyAlignment="1">
      <alignment horizontal="left"/>
    </xf>
    <xf numFmtId="0" fontId="0" fillId="3" borderId="0" xfId="0" applyFont="1" applyFill="1" applyAlignment="1">
      <alignment horizontal="right"/>
    </xf>
    <xf numFmtId="0" fontId="41" fillId="3" borderId="0" xfId="0" applyFont="1" applyFill="1" applyAlignment="1">
      <alignment/>
    </xf>
    <xf numFmtId="164" fontId="41" fillId="3" borderId="0" xfId="0" applyNumberFormat="1" applyFont="1" applyFill="1" applyAlignment="1">
      <alignment/>
    </xf>
    <xf numFmtId="165" fontId="41" fillId="3" borderId="0" xfId="0" applyNumberFormat="1" applyFont="1" applyFill="1" applyAlignment="1">
      <alignment/>
    </xf>
    <xf numFmtId="0" fontId="0" fillId="3" borderId="18" xfId="0" applyFill="1" applyBorder="1" applyAlignment="1">
      <alignment horizontal="center"/>
    </xf>
    <xf numFmtId="0" fontId="5" fillId="3" borderId="0" xfId="20" applyFill="1" applyAlignment="1">
      <alignment/>
    </xf>
    <xf numFmtId="8" fontId="0" fillId="3" borderId="0" xfId="0" applyNumberFormat="1" applyFill="1" applyAlignment="1">
      <alignment/>
    </xf>
    <xf numFmtId="1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/>
    </xf>
    <xf numFmtId="0" fontId="13" fillId="3" borderId="0" xfId="0" applyFont="1" applyFill="1" applyAlignment="1">
      <alignment/>
    </xf>
    <xf numFmtId="0" fontId="13" fillId="3" borderId="0" xfId="0" applyFont="1" applyFill="1" applyBorder="1" applyAlignment="1">
      <alignment/>
    </xf>
    <xf numFmtId="165" fontId="13" fillId="3" borderId="0" xfId="0" applyNumberFormat="1" applyFont="1" applyFill="1" applyAlignment="1">
      <alignment/>
    </xf>
    <xf numFmtId="6" fontId="13" fillId="3" borderId="0" xfId="0" applyNumberFormat="1" applyFont="1" applyFill="1" applyAlignment="1">
      <alignment/>
    </xf>
    <xf numFmtId="0" fontId="10" fillId="3" borderId="0" xfId="0" applyFont="1" applyFill="1" applyAlignment="1">
      <alignment horizontal="left"/>
    </xf>
    <xf numFmtId="0" fontId="0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6" fontId="0" fillId="3" borderId="3" xfId="0" applyNumberForma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5" fillId="3" borderId="0" xfId="20" applyFill="1" applyBorder="1" applyAlignment="1">
      <alignment horizontal="left"/>
    </xf>
    <xf numFmtId="167" fontId="0" fillId="3" borderId="0" xfId="0" applyNumberFormat="1" applyFill="1" applyAlignment="1">
      <alignment/>
    </xf>
    <xf numFmtId="0" fontId="11" fillId="3" borderId="12" xfId="0" applyFont="1" applyFill="1" applyBorder="1" applyAlignment="1">
      <alignment horizontal="center"/>
    </xf>
    <xf numFmtId="166" fontId="0" fillId="3" borderId="0" xfId="0" applyNumberFormat="1" applyFill="1" applyAlignment="1">
      <alignment/>
    </xf>
    <xf numFmtId="165" fontId="0" fillId="3" borderId="7" xfId="0" applyNumberFormat="1" applyFill="1" applyBorder="1" applyAlignment="1">
      <alignment/>
    </xf>
    <xf numFmtId="180" fontId="13" fillId="3" borderId="0" xfId="0" applyNumberFormat="1" applyFont="1" applyFill="1" applyAlignment="1">
      <alignment/>
    </xf>
    <xf numFmtId="0" fontId="14" fillId="3" borderId="0" xfId="0" applyFont="1" applyFill="1" applyAlignment="1">
      <alignment/>
    </xf>
    <xf numFmtId="0" fontId="9" fillId="0" borderId="0" xfId="0" applyFont="1" applyAlignment="1">
      <alignment/>
    </xf>
    <xf numFmtId="183" fontId="21" fillId="5" borderId="0" xfId="0" applyNumberFormat="1" applyFont="1" applyFill="1" applyBorder="1" applyAlignment="1">
      <alignment/>
    </xf>
    <xf numFmtId="0" fontId="0" fillId="5" borderId="0" xfId="0" applyFill="1" applyAlignment="1">
      <alignment horizontal="center"/>
    </xf>
    <xf numFmtId="0" fontId="9" fillId="3" borderId="0" xfId="0" applyFont="1" applyFill="1" applyAlignment="1">
      <alignment/>
    </xf>
    <xf numFmtId="0" fontId="9" fillId="3" borderId="0" xfId="0" applyFont="1" applyFill="1" applyBorder="1" applyAlignment="1">
      <alignment/>
    </xf>
    <xf numFmtId="0" fontId="45" fillId="3" borderId="0" xfId="0" applyFont="1" applyFill="1" applyBorder="1" applyAlignment="1">
      <alignment/>
    </xf>
    <xf numFmtId="0" fontId="9" fillId="3" borderId="0" xfId="0" applyFont="1" applyFill="1" applyBorder="1" applyAlignment="1">
      <alignment horizontal="right"/>
    </xf>
    <xf numFmtId="0" fontId="45" fillId="3" borderId="0" xfId="0" applyFont="1" applyFill="1" applyAlignment="1">
      <alignment/>
    </xf>
    <xf numFmtId="0" fontId="46" fillId="3" borderId="0" xfId="0" applyFont="1" applyFill="1" applyAlignment="1">
      <alignment/>
    </xf>
    <xf numFmtId="165" fontId="46" fillId="3" borderId="0" xfId="0" applyNumberFormat="1" applyFont="1" applyFill="1" applyAlignment="1">
      <alignment/>
    </xf>
    <xf numFmtId="0" fontId="46" fillId="3" borderId="0" xfId="0" applyFont="1" applyFill="1" applyBorder="1" applyAlignment="1">
      <alignment/>
    </xf>
    <xf numFmtId="165" fontId="46" fillId="3" borderId="0" xfId="0" applyNumberFormat="1" applyFont="1" applyFill="1" applyBorder="1" applyAlignment="1">
      <alignment/>
    </xf>
    <xf numFmtId="0" fontId="46" fillId="0" borderId="0" xfId="0" applyFont="1" applyAlignment="1">
      <alignment/>
    </xf>
    <xf numFmtId="165" fontId="46" fillId="0" borderId="0" xfId="0" applyNumberFormat="1" applyFont="1" applyAlignment="1">
      <alignment/>
    </xf>
    <xf numFmtId="0" fontId="47" fillId="3" borderId="0" xfId="0" applyFont="1" applyFill="1" applyBorder="1" applyAlignment="1">
      <alignment/>
    </xf>
    <xf numFmtId="3" fontId="0" fillId="5" borderId="0" xfId="0" applyNumberFormat="1" applyFont="1" applyFill="1" applyBorder="1" applyAlignment="1">
      <alignment/>
    </xf>
    <xf numFmtId="165" fontId="0" fillId="4" borderId="14" xfId="0" applyNumberFormat="1" applyFill="1" applyBorder="1" applyAlignment="1">
      <alignment/>
    </xf>
    <xf numFmtId="3" fontId="0" fillId="4" borderId="18" xfId="0" applyNumberFormat="1" applyFill="1" applyBorder="1" applyAlignment="1">
      <alignment/>
    </xf>
    <xf numFmtId="165" fontId="10" fillId="5" borderId="0" xfId="0" applyNumberFormat="1" applyFont="1" applyFill="1" applyAlignment="1">
      <alignment/>
    </xf>
    <xf numFmtId="0" fontId="13" fillId="3" borderId="0" xfId="0" applyFont="1" applyFill="1" applyBorder="1" applyAlignment="1">
      <alignment/>
    </xf>
    <xf numFmtId="165" fontId="0" fillId="5" borderId="13" xfId="0" applyNumberFormat="1" applyFont="1" applyFill="1" applyBorder="1" applyAlignment="1">
      <alignment/>
    </xf>
    <xf numFmtId="0" fontId="0" fillId="3" borderId="0" xfId="0" applyFill="1" applyAlignment="1">
      <alignment horizontal="center"/>
    </xf>
    <xf numFmtId="4" fontId="21" fillId="4" borderId="3" xfId="0" applyNumberFormat="1" applyFont="1" applyFill="1" applyBorder="1" applyAlignment="1">
      <alignment/>
    </xf>
    <xf numFmtId="184" fontId="0" fillId="3" borderId="0" xfId="0" applyNumberFormat="1" applyFill="1" applyAlignment="1">
      <alignment/>
    </xf>
    <xf numFmtId="165" fontId="0" fillId="5" borderId="0" xfId="0" applyNumberFormat="1" applyFill="1" applyBorder="1" applyAlignment="1">
      <alignment/>
    </xf>
    <xf numFmtId="9" fontId="0" fillId="4" borderId="3" xfId="0" applyNumberFormat="1" applyFill="1" applyBorder="1" applyAlignment="1">
      <alignment/>
    </xf>
    <xf numFmtId="1" fontId="0" fillId="4" borderId="3" xfId="0" applyNumberFormat="1" applyFill="1" applyBorder="1" applyAlignment="1">
      <alignment/>
    </xf>
    <xf numFmtId="0" fontId="52" fillId="3" borderId="0" xfId="0" applyFont="1" applyFill="1" applyBorder="1" applyAlignment="1">
      <alignment horizontal="center"/>
    </xf>
    <xf numFmtId="0" fontId="13" fillId="3" borderId="0" xfId="0" applyFont="1" applyFill="1" applyAlignment="1">
      <alignment horizontal="right"/>
    </xf>
    <xf numFmtId="184" fontId="13" fillId="3" borderId="0" xfId="0" applyNumberFormat="1" applyFont="1" applyFill="1" applyAlignment="1">
      <alignment/>
    </xf>
    <xf numFmtId="184" fontId="13" fillId="3" borderId="0" xfId="0" applyNumberFormat="1" applyFont="1" applyFill="1" applyAlignment="1">
      <alignment horizontal="right"/>
    </xf>
    <xf numFmtId="177" fontId="13" fillId="3" borderId="0" xfId="0" applyNumberFormat="1" applyFont="1" applyFill="1" applyAlignment="1">
      <alignment/>
    </xf>
    <xf numFmtId="1" fontId="13" fillId="3" borderId="0" xfId="0" applyNumberFormat="1" applyFont="1" applyFill="1" applyAlignment="1">
      <alignment/>
    </xf>
    <xf numFmtId="2" fontId="13" fillId="3" borderId="0" xfId="0" applyNumberFormat="1" applyFont="1" applyFill="1" applyAlignment="1">
      <alignment/>
    </xf>
    <xf numFmtId="0" fontId="0" fillId="5" borderId="0" xfId="0" applyFill="1" applyBorder="1" applyAlignment="1">
      <alignment/>
    </xf>
    <xf numFmtId="0" fontId="0" fillId="3" borderId="0" xfId="0" applyFont="1" applyFill="1" applyAlignment="1">
      <alignment horizontal="left"/>
    </xf>
    <xf numFmtId="185" fontId="21" fillId="5" borderId="0" xfId="0" applyNumberFormat="1" applyFont="1" applyFill="1" applyBorder="1" applyAlignment="1">
      <alignment/>
    </xf>
    <xf numFmtId="0" fontId="31" fillId="3" borderId="0" xfId="0" applyFont="1" applyFill="1" applyBorder="1" applyAlignment="1">
      <alignment horizontal="center"/>
    </xf>
    <xf numFmtId="165" fontId="0" fillId="3" borderId="0" xfId="20" applyNumberFormat="1" applyFont="1" applyFill="1" applyBorder="1" applyAlignment="1">
      <alignment horizontal="left"/>
    </xf>
    <xf numFmtId="0" fontId="19" fillId="3" borderId="12" xfId="0" applyFont="1" applyFill="1" applyBorder="1" applyAlignment="1">
      <alignment/>
    </xf>
    <xf numFmtId="0" fontId="0" fillId="8" borderId="8" xfId="0" applyFill="1" applyBorder="1" applyAlignment="1">
      <alignment/>
    </xf>
    <xf numFmtId="0" fontId="0" fillId="8" borderId="9" xfId="0" applyFill="1" applyBorder="1" applyAlignment="1">
      <alignment/>
    </xf>
    <xf numFmtId="0" fontId="31" fillId="8" borderId="0" xfId="0" applyFont="1" applyFill="1" applyBorder="1" applyAlignment="1">
      <alignment/>
    </xf>
    <xf numFmtId="2" fontId="31" fillId="8" borderId="0" xfId="0" applyNumberFormat="1" applyFont="1" applyFill="1" applyBorder="1" applyAlignment="1">
      <alignment horizontal="center"/>
    </xf>
    <xf numFmtId="0" fontId="31" fillId="8" borderId="0" xfId="0" applyFont="1" applyFill="1" applyBorder="1" applyAlignment="1">
      <alignment horizontal="center"/>
    </xf>
    <xf numFmtId="0" fontId="31" fillId="3" borderId="0" xfId="0" applyFont="1" applyFill="1" applyBorder="1" applyAlignment="1">
      <alignment/>
    </xf>
    <xf numFmtId="0" fontId="31" fillId="3" borderId="12" xfId="0" applyFont="1" applyFill="1" applyBorder="1" applyAlignment="1">
      <alignment horizontal="center"/>
    </xf>
    <xf numFmtId="165" fontId="0" fillId="8" borderId="0" xfId="0" applyNumberFormat="1" applyFill="1" applyAlignment="1">
      <alignment/>
    </xf>
    <xf numFmtId="165" fontId="0" fillId="8" borderId="0" xfId="0" applyNumberFormat="1" applyFont="1" applyFill="1" applyAlignment="1">
      <alignment/>
    </xf>
    <xf numFmtId="167" fontId="0" fillId="8" borderId="0" xfId="0" applyNumberFormat="1" applyFill="1" applyAlignment="1">
      <alignment/>
    </xf>
    <xf numFmtId="167" fontId="0" fillId="8" borderId="0" xfId="0" applyNumberFormat="1" applyFont="1" applyFill="1" applyAlignment="1">
      <alignment/>
    </xf>
    <xf numFmtId="165" fontId="0" fillId="6" borderId="0" xfId="0" applyNumberFormat="1" applyFill="1" applyAlignment="1">
      <alignment/>
    </xf>
    <xf numFmtId="165" fontId="0" fillId="7" borderId="0" xfId="0" applyNumberFormat="1" applyFill="1" applyAlignment="1">
      <alignment/>
    </xf>
    <xf numFmtId="165" fontId="0" fillId="7" borderId="0" xfId="0" applyNumberFormat="1" applyFont="1" applyFill="1" applyAlignment="1">
      <alignment/>
    </xf>
    <xf numFmtId="167" fontId="0" fillId="7" borderId="0" xfId="0" applyNumberFormat="1" applyFill="1" applyAlignment="1">
      <alignment/>
    </xf>
    <xf numFmtId="167" fontId="0" fillId="7" borderId="0" xfId="0" applyNumberFormat="1" applyFont="1" applyFill="1" applyAlignment="1">
      <alignment/>
    </xf>
    <xf numFmtId="165" fontId="0" fillId="4" borderId="0" xfId="0" applyNumberFormat="1" applyFill="1" applyAlignment="1">
      <alignment/>
    </xf>
    <xf numFmtId="0" fontId="0" fillId="9" borderId="8" xfId="0" applyFill="1" applyBorder="1" applyAlignment="1">
      <alignment/>
    </xf>
    <xf numFmtId="0" fontId="0" fillId="9" borderId="9" xfId="0" applyFill="1" applyBorder="1" applyAlignment="1">
      <alignment/>
    </xf>
    <xf numFmtId="0" fontId="31" fillId="9" borderId="0" xfId="0" applyFont="1" applyFill="1" applyBorder="1" applyAlignment="1">
      <alignment/>
    </xf>
    <xf numFmtId="2" fontId="31" fillId="9" borderId="0" xfId="0" applyNumberFormat="1" applyFont="1" applyFill="1" applyBorder="1" applyAlignment="1">
      <alignment horizontal="center"/>
    </xf>
    <xf numFmtId="0" fontId="31" fillId="9" borderId="0" xfId="0" applyFont="1" applyFill="1" applyBorder="1" applyAlignment="1">
      <alignment horizontal="center"/>
    </xf>
    <xf numFmtId="165" fontId="0" fillId="9" borderId="0" xfId="0" applyNumberFormat="1" applyFill="1" applyAlignment="1">
      <alignment/>
    </xf>
    <xf numFmtId="165" fontId="0" fillId="9" borderId="0" xfId="0" applyNumberFormat="1" applyFont="1" applyFill="1" applyAlignment="1">
      <alignment/>
    </xf>
    <xf numFmtId="0" fontId="68" fillId="0" borderId="0" xfId="0" applyFont="1" applyAlignment="1">
      <alignment/>
    </xf>
    <xf numFmtId="0" fontId="0" fillId="9" borderId="0" xfId="0" applyFill="1" applyAlignment="1">
      <alignment/>
    </xf>
    <xf numFmtId="167" fontId="0" fillId="9" borderId="0" xfId="0" applyNumberFormat="1" applyFill="1" applyAlignment="1">
      <alignment/>
    </xf>
    <xf numFmtId="167" fontId="0" fillId="9" borderId="0" xfId="0" applyNumberFormat="1" applyFont="1" applyFill="1" applyAlignment="1">
      <alignment/>
    </xf>
    <xf numFmtId="165" fontId="0" fillId="6" borderId="7" xfId="0" applyNumberFormat="1" applyFont="1" applyFill="1" applyBorder="1" applyAlignment="1">
      <alignment/>
    </xf>
    <xf numFmtId="167" fontId="0" fillId="6" borderId="7" xfId="0" applyNumberFormat="1" applyFill="1" applyBorder="1" applyAlignment="1">
      <alignment/>
    </xf>
    <xf numFmtId="167" fontId="0" fillId="6" borderId="7" xfId="0" applyNumberFormat="1" applyFont="1" applyFill="1" applyBorder="1" applyAlignment="1">
      <alignment/>
    </xf>
    <xf numFmtId="165" fontId="0" fillId="6" borderId="7" xfId="0" applyNumberFormat="1" applyFill="1" applyBorder="1" applyAlignment="1">
      <alignment/>
    </xf>
    <xf numFmtId="165" fontId="0" fillId="10" borderId="0" xfId="0" applyNumberFormat="1" applyFill="1" applyAlignment="1">
      <alignment/>
    </xf>
    <xf numFmtId="165" fontId="0" fillId="11" borderId="12" xfId="0" applyNumberFormat="1" applyFill="1" applyBorder="1" applyAlignment="1">
      <alignment/>
    </xf>
    <xf numFmtId="165" fontId="0" fillId="12" borderId="0" xfId="0" applyNumberFormat="1" applyFill="1" applyAlignment="1">
      <alignment/>
    </xf>
    <xf numFmtId="165" fontId="0" fillId="13" borderId="0" xfId="0" applyNumberFormat="1" applyFill="1" applyAlignment="1">
      <alignment/>
    </xf>
    <xf numFmtId="165" fontId="0" fillId="14" borderId="0" xfId="0" applyNumberFormat="1" applyFill="1" applyAlignment="1">
      <alignment/>
    </xf>
    <xf numFmtId="165" fontId="0" fillId="15" borderId="0" xfId="0" applyNumberFormat="1" applyFill="1" applyAlignment="1">
      <alignment/>
    </xf>
    <xf numFmtId="165" fontId="0" fillId="16" borderId="0" xfId="0" applyNumberFormat="1" applyFill="1" applyAlignment="1">
      <alignment/>
    </xf>
    <xf numFmtId="165" fontId="0" fillId="17" borderId="0" xfId="0" applyNumberFormat="1" applyFill="1" applyAlignment="1">
      <alignment/>
    </xf>
    <xf numFmtId="165" fontId="0" fillId="18" borderId="0" xfId="0" applyNumberFormat="1" applyFill="1" applyAlignment="1">
      <alignment/>
    </xf>
    <xf numFmtId="0" fontId="55" fillId="3" borderId="0" xfId="0" applyFont="1" applyFill="1" applyBorder="1" applyAlignment="1">
      <alignment/>
    </xf>
    <xf numFmtId="0" fontId="54" fillId="3" borderId="0" xfId="0" applyFont="1" applyFill="1" applyBorder="1" applyAlignment="1">
      <alignment horizontal="left"/>
    </xf>
    <xf numFmtId="0" fontId="1" fillId="3" borderId="0" xfId="0" applyFont="1" applyFill="1" applyAlignment="1">
      <alignment/>
    </xf>
    <xf numFmtId="0" fontId="1" fillId="3" borderId="0" xfId="0" applyFont="1" applyFill="1" applyBorder="1" applyAlignment="1">
      <alignment horizontal="left"/>
    </xf>
    <xf numFmtId="0" fontId="68" fillId="3" borderId="0" xfId="0" applyFont="1" applyFill="1" applyBorder="1" applyAlignment="1">
      <alignment horizontal="left"/>
    </xf>
    <xf numFmtId="165" fontId="58" fillId="3" borderId="7" xfId="0" applyNumberFormat="1" applyFont="1" applyFill="1" applyBorder="1" applyAlignment="1">
      <alignment/>
    </xf>
    <xf numFmtId="0" fontId="58" fillId="3" borderId="7" xfId="0" applyFont="1" applyFill="1" applyBorder="1" applyAlignment="1">
      <alignment horizontal="center"/>
    </xf>
    <xf numFmtId="0" fontId="58" fillId="3" borderId="0" xfId="0" applyFont="1" applyFill="1" applyBorder="1" applyAlignment="1">
      <alignment/>
    </xf>
    <xf numFmtId="165" fontId="60" fillId="3" borderId="0" xfId="0" applyNumberFormat="1" applyFont="1" applyFill="1" applyBorder="1" applyAlignment="1">
      <alignment/>
    </xf>
    <xf numFmtId="165" fontId="42" fillId="3" borderId="0" xfId="0" applyNumberFormat="1" applyFont="1" applyFill="1" applyBorder="1" applyAlignment="1">
      <alignment/>
    </xf>
    <xf numFmtId="0" fontId="58" fillId="3" borderId="0" xfId="0" applyFont="1" applyFill="1" applyAlignment="1">
      <alignment horizontal="left"/>
    </xf>
    <xf numFmtId="0" fontId="58" fillId="3" borderId="7" xfId="0" applyFont="1" applyFill="1" applyBorder="1" applyAlignment="1">
      <alignment/>
    </xf>
    <xf numFmtId="0" fontId="58" fillId="3" borderId="20" xfId="0" applyFont="1" applyFill="1" applyBorder="1" applyAlignment="1">
      <alignment/>
    </xf>
    <xf numFmtId="0" fontId="58" fillId="3" borderId="0" xfId="0" applyFont="1" applyFill="1" applyAlignment="1">
      <alignment/>
    </xf>
    <xf numFmtId="178" fontId="56" fillId="3" borderId="0" xfId="0" applyNumberFormat="1" applyFont="1" applyFill="1" applyBorder="1" applyAlignment="1">
      <alignment horizontal="center"/>
    </xf>
    <xf numFmtId="0" fontId="56" fillId="3" borderId="0" xfId="0" applyFont="1" applyFill="1" applyBorder="1" applyAlignment="1">
      <alignment/>
    </xf>
    <xf numFmtId="0" fontId="31" fillId="3" borderId="0" xfId="0" applyFont="1" applyFill="1" applyBorder="1" applyAlignment="1">
      <alignment horizontal="left"/>
    </xf>
    <xf numFmtId="0" fontId="58" fillId="3" borderId="0" xfId="0" applyFont="1" applyFill="1" applyBorder="1" applyAlignment="1">
      <alignment horizontal="left"/>
    </xf>
    <xf numFmtId="0" fontId="58" fillId="3" borderId="0" xfId="0" applyFont="1" applyFill="1" applyBorder="1" applyAlignment="1">
      <alignment horizontal="center"/>
    </xf>
    <xf numFmtId="0" fontId="58" fillId="3" borderId="0" xfId="0" applyFont="1" applyFill="1" applyBorder="1" applyAlignment="1">
      <alignment horizontal="center"/>
    </xf>
    <xf numFmtId="2" fontId="58" fillId="3" borderId="7" xfId="0" applyNumberFormat="1" applyFont="1" applyFill="1" applyBorder="1" applyAlignment="1">
      <alignment horizontal="center"/>
    </xf>
    <xf numFmtId="165" fontId="10" fillId="3" borderId="0" xfId="0" applyNumberFormat="1" applyFont="1" applyFill="1" applyAlignment="1">
      <alignment/>
    </xf>
    <xf numFmtId="0" fontId="64" fillId="3" borderId="0" xfId="0" applyFont="1" applyFill="1" applyAlignment="1">
      <alignment/>
    </xf>
    <xf numFmtId="0" fontId="64" fillId="0" borderId="0" xfId="0" applyFont="1" applyAlignment="1">
      <alignment/>
    </xf>
    <xf numFmtId="0" fontId="52" fillId="3" borderId="0" xfId="0" applyFont="1" applyFill="1" applyAlignment="1">
      <alignment/>
    </xf>
    <xf numFmtId="0" fontId="14" fillId="3" borderId="0" xfId="0" applyFont="1" applyFill="1" applyBorder="1" applyAlignment="1">
      <alignment/>
    </xf>
    <xf numFmtId="0" fontId="67" fillId="3" borderId="0" xfId="0" applyFont="1" applyFill="1" applyAlignment="1">
      <alignment/>
    </xf>
    <xf numFmtId="0" fontId="14" fillId="3" borderId="0" xfId="0" applyFont="1" applyFill="1" applyAlignment="1">
      <alignment/>
    </xf>
    <xf numFmtId="0" fontId="68" fillId="3" borderId="0" xfId="0" applyFont="1" applyFill="1" applyAlignment="1">
      <alignment/>
    </xf>
    <xf numFmtId="0" fontId="67" fillId="3" borderId="0" xfId="0" applyFont="1" applyFill="1" applyBorder="1" applyAlignment="1">
      <alignment/>
    </xf>
    <xf numFmtId="186" fontId="58" fillId="3" borderId="7" xfId="0" applyNumberFormat="1" applyFont="1" applyFill="1" applyBorder="1" applyAlignment="1">
      <alignment horizontal="center"/>
    </xf>
    <xf numFmtId="0" fontId="64" fillId="3" borderId="0" xfId="0" applyFont="1" applyFill="1" applyBorder="1" applyAlignment="1">
      <alignment/>
    </xf>
    <xf numFmtId="0" fontId="70" fillId="3" borderId="0" xfId="0" applyFont="1" applyFill="1" applyAlignment="1">
      <alignment horizontal="center"/>
    </xf>
    <xf numFmtId="178" fontId="13" fillId="3" borderId="0" xfId="0" applyNumberFormat="1" applyFont="1" applyFill="1" applyAlignment="1">
      <alignment/>
    </xf>
    <xf numFmtId="0" fontId="42" fillId="3" borderId="0" xfId="0" applyFont="1" applyFill="1" applyBorder="1" applyAlignment="1">
      <alignment horizontal="left"/>
    </xf>
    <xf numFmtId="164" fontId="1" fillId="3" borderId="12" xfId="0" applyNumberFormat="1" applyFont="1" applyFill="1" applyBorder="1" applyAlignment="1">
      <alignment horizontal="right"/>
    </xf>
    <xf numFmtId="0" fontId="72" fillId="3" borderId="0" xfId="0" applyFont="1" applyFill="1" applyAlignment="1">
      <alignment horizontal="left"/>
    </xf>
    <xf numFmtId="0" fontId="10" fillId="3" borderId="7" xfId="0" applyFont="1" applyFill="1" applyBorder="1" applyAlignment="1">
      <alignment horizontal="center"/>
    </xf>
    <xf numFmtId="164" fontId="1" fillId="5" borderId="0" xfId="0" applyNumberFormat="1" applyFont="1" applyFill="1" applyBorder="1" applyAlignment="1">
      <alignment horizontal="right"/>
    </xf>
    <xf numFmtId="0" fontId="0" fillId="3" borderId="0" xfId="0" applyFont="1" applyFill="1" applyAlignment="1">
      <alignment/>
    </xf>
    <xf numFmtId="164" fontId="13" fillId="3" borderId="0" xfId="0" applyNumberFormat="1" applyFont="1" applyFill="1" applyAlignment="1">
      <alignment/>
    </xf>
    <xf numFmtId="0" fontId="10" fillId="3" borderId="0" xfId="0" applyFont="1" applyFill="1" applyBorder="1" applyAlignment="1">
      <alignment horizontal="center"/>
    </xf>
    <xf numFmtId="0" fontId="73" fillId="0" borderId="0" xfId="0" applyFont="1" applyAlignment="1">
      <alignment/>
    </xf>
    <xf numFmtId="0" fontId="0" fillId="0" borderId="0" xfId="0" applyFont="1" applyAlignment="1">
      <alignment/>
    </xf>
    <xf numFmtId="0" fontId="72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164" fontId="0" fillId="3" borderId="0" xfId="0" applyNumberFormat="1" applyFont="1" applyFill="1" applyAlignment="1">
      <alignment/>
    </xf>
    <xf numFmtId="0" fontId="74" fillId="3" borderId="0" xfId="0" applyFont="1" applyFill="1" applyBorder="1" applyAlignment="1">
      <alignment/>
    </xf>
    <xf numFmtId="0" fontId="75" fillId="3" borderId="0" xfId="0" applyFont="1" applyFill="1" applyAlignment="1">
      <alignment/>
    </xf>
    <xf numFmtId="0" fontId="42" fillId="3" borderId="7" xfId="0" applyFont="1" applyFill="1" applyBorder="1" applyAlignment="1">
      <alignment/>
    </xf>
    <xf numFmtId="0" fontId="42" fillId="3" borderId="0" xfId="0" applyFont="1" applyFill="1" applyAlignment="1">
      <alignment/>
    </xf>
    <xf numFmtId="0" fontId="42" fillId="3" borderId="7" xfId="0" applyFont="1" applyFill="1" applyBorder="1" applyAlignment="1">
      <alignment horizontal="center"/>
    </xf>
    <xf numFmtId="0" fontId="76" fillId="0" borderId="0" xfId="0" applyFont="1" applyAlignment="1">
      <alignment horizontal="left"/>
    </xf>
    <xf numFmtId="0" fontId="11" fillId="3" borderId="12" xfId="0" applyFon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 applyAlignment="1">
      <alignment horizontal="center"/>
    </xf>
    <xf numFmtId="0" fontId="71" fillId="0" borderId="0" xfId="0" applyFont="1" applyAlignment="1">
      <alignment horizontal="left"/>
    </xf>
    <xf numFmtId="0" fontId="7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0" fillId="3" borderId="0" xfId="0" applyFont="1" applyFill="1" applyAlignment="1">
      <alignment horizontal="left"/>
    </xf>
    <xf numFmtId="0" fontId="64" fillId="3" borderId="0" xfId="0" applyFont="1" applyFill="1" applyBorder="1" applyAlignment="1">
      <alignment horizontal="left"/>
    </xf>
    <xf numFmtId="165" fontId="57" fillId="3" borderId="7" xfId="0" applyNumberFormat="1" applyFont="1" applyFill="1" applyBorder="1" applyAlignment="1">
      <alignment horizontal="center"/>
    </xf>
    <xf numFmtId="165" fontId="42" fillId="3" borderId="0" xfId="0" applyNumberFormat="1" applyFont="1" applyFill="1" applyBorder="1" applyAlignment="1">
      <alignment horizontal="center"/>
    </xf>
    <xf numFmtId="165" fontId="58" fillId="3" borderId="7" xfId="0" applyNumberFormat="1" applyFont="1" applyFill="1" applyBorder="1" applyAlignment="1">
      <alignment horizontal="center"/>
    </xf>
    <xf numFmtId="0" fontId="68" fillId="3" borderId="0" xfId="0" applyFont="1" applyFill="1" applyBorder="1" applyAlignment="1">
      <alignment horizontal="left"/>
    </xf>
    <xf numFmtId="0" fontId="15" fillId="3" borderId="0" xfId="0" applyFont="1" applyFill="1" applyAlignment="1">
      <alignment horizontal="left"/>
    </xf>
    <xf numFmtId="0" fontId="68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58" fillId="3" borderId="7" xfId="0" applyFont="1" applyFill="1" applyBorder="1" applyAlignment="1">
      <alignment horizontal="center"/>
    </xf>
    <xf numFmtId="0" fontId="59" fillId="3" borderId="7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23" xfId="0" applyFill="1" applyBorder="1" applyAlignment="1">
      <alignment horizontal="left"/>
    </xf>
    <xf numFmtId="0" fontId="64" fillId="3" borderId="0" xfId="0" applyFont="1" applyFill="1" applyAlignment="1">
      <alignment horizontal="left"/>
    </xf>
    <xf numFmtId="165" fontId="0" fillId="3" borderId="0" xfId="20" applyNumberFormat="1" applyFont="1" applyFill="1" applyBorder="1" applyAlignment="1">
      <alignment horizontal="left"/>
    </xf>
    <xf numFmtId="0" fontId="1" fillId="3" borderId="12" xfId="0" applyFont="1" applyFill="1" applyBorder="1" applyAlignment="1">
      <alignment horizontal="center"/>
    </xf>
    <xf numFmtId="0" fontId="68" fillId="3" borderId="0" xfId="0" applyFont="1" applyFill="1" applyAlignment="1">
      <alignment horizontal="left"/>
    </xf>
    <xf numFmtId="0" fontId="64" fillId="0" borderId="0" xfId="0" applyFont="1" applyAlignment="1">
      <alignment horizontal="right"/>
    </xf>
    <xf numFmtId="165" fontId="10" fillId="3" borderId="0" xfId="0" applyNumberFormat="1" applyFont="1" applyFill="1" applyBorder="1" applyAlignment="1">
      <alignment horizontal="left"/>
    </xf>
    <xf numFmtId="0" fontId="58" fillId="3" borderId="0" xfId="0" applyFont="1" applyFill="1" applyBorder="1" applyAlignment="1">
      <alignment horizontal="center"/>
    </xf>
    <xf numFmtId="0" fontId="40" fillId="3" borderId="0" xfId="0" applyFont="1" applyFill="1" applyBorder="1" applyAlignment="1">
      <alignment horizontal="left"/>
    </xf>
    <xf numFmtId="0" fontId="22" fillId="3" borderId="0" xfId="0" applyFont="1" applyFill="1" applyBorder="1" applyAlignment="1">
      <alignment horizontal="center"/>
    </xf>
    <xf numFmtId="0" fontId="68" fillId="3" borderId="24" xfId="0" applyFont="1" applyFill="1" applyBorder="1" applyAlignment="1">
      <alignment horizontal="left"/>
    </xf>
    <xf numFmtId="0" fontId="67" fillId="3" borderId="7" xfId="0" applyFont="1" applyFill="1" applyBorder="1" applyAlignment="1">
      <alignment horizontal="center"/>
    </xf>
    <xf numFmtId="0" fontId="0" fillId="19" borderId="4" xfId="0" applyFont="1" applyFill="1" applyBorder="1" applyAlignment="1">
      <alignment horizontal="left"/>
    </xf>
    <xf numFmtId="0" fontId="0" fillId="19" borderId="0" xfId="0" applyFont="1" applyFill="1" applyAlignment="1">
      <alignment horizontal="left"/>
    </xf>
    <xf numFmtId="0" fontId="64" fillId="3" borderId="0" xfId="0" applyFont="1" applyFill="1" applyAlignment="1">
      <alignment horizontal="center"/>
    </xf>
    <xf numFmtId="0" fontId="75" fillId="3" borderId="0" xfId="0" applyFont="1" applyFill="1" applyAlignment="1">
      <alignment horizontal="left"/>
    </xf>
    <xf numFmtId="0" fontId="76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Heather's First Year Medical Costs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6600"/>
              </a:solidFill>
            </c:spPr>
          </c:dPt>
          <c:dPt>
            <c:idx val="7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1HeathersCare!$A$7:$A$14</c:f>
              <c:strCache>
                <c:ptCount val="8"/>
                <c:pt idx="0">
                  <c:v>Emergency Care</c:v>
                </c:pt>
                <c:pt idx="1">
                  <c:v>Neurologist</c:v>
                </c:pt>
                <c:pt idx="2">
                  <c:v>Critical Care (coma)</c:v>
                </c:pt>
                <c:pt idx="3">
                  <c:v>Hospital Observation</c:v>
                </c:pt>
                <c:pt idx="4">
                  <c:v>Wheelchair</c:v>
                </c:pt>
                <c:pt idx="5">
                  <c:v>Home Hospital Bed</c:v>
                </c:pt>
                <c:pt idx="6">
                  <c:v>Medications</c:v>
                </c:pt>
                <c:pt idx="7">
                  <c:v>Rehabilitation Care</c:v>
                </c:pt>
              </c:strCache>
            </c:strRef>
          </c:cat>
          <c:val>
            <c:numRef>
              <c:f>1HeathersCare!$B$7:$B$14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Injury Cost Distribution Between the Household and Others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7InjuryCost!$C$30</c:f>
              <c:strCache>
                <c:ptCount val="1"/>
                <c:pt idx="0">
                  <c:v>Injury Cost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7InjuryCost!$B$31:$B$32</c:f>
              <c:strCache/>
            </c:strRef>
          </c:cat>
          <c:val>
            <c:numRef>
              <c:f>7InjuryCost!$C$31:$C$32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hape val="box"/>
        <c:axId val="59642395"/>
        <c:axId val="67019508"/>
      </c:bar3DChart>
      <c:catAx>
        <c:axId val="59642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7019508"/>
        <c:crosses val="autoZero"/>
        <c:auto val="1"/>
        <c:lblOffset val="100"/>
        <c:noMultiLvlLbl val="0"/>
      </c:catAx>
      <c:valAx>
        <c:axId val="670195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4239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00FFFF"/>
        </a:solidFill>
      </c:spPr>
      <c:thickness val="0"/>
    </c:floor>
    <c:sideWall>
      <c:spPr>
        <a:solidFill>
          <a:srgbClr val="FFFF99"/>
        </a:solidFill>
        <a:ln w="3175">
          <a:noFill/>
        </a:ln>
      </c:spPr>
      <c:thickness val="0"/>
    </c:sideWall>
    <c:backWall>
      <c:spPr>
        <a:solidFill>
          <a:srgbClr val="FFFF99"/>
        </a:solidFill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Non-Cash (implicit) and Out-of-pocket (explicit) 
Costs to Heather's Household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8CostType!$C$20</c:f>
              <c:strCache>
                <c:ptCount val="1"/>
                <c:pt idx="0">
                  <c:v>intervention cost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8CostType!$D$19:$E$19</c:f>
              <c:strCache/>
            </c:strRef>
          </c:cat>
          <c:val>
            <c:numRef>
              <c:f>8CostType!$D$20:$E$20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8CostType!$C$21</c:f>
              <c:strCache>
                <c:ptCount val="1"/>
                <c:pt idx="0">
                  <c:v>injury cost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8CostType!$D$19:$E$19</c:f>
              <c:strCache/>
            </c:strRef>
          </c:cat>
          <c:val>
            <c:numRef>
              <c:f>8CostType!$D$21:$E$21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6304661"/>
        <c:axId val="59871038"/>
      </c:barChart>
      <c:catAx>
        <c:axId val="66304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Type of 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71038"/>
        <c:crosses val="autoZero"/>
        <c:auto val="1"/>
        <c:lblOffset val="100"/>
        <c:noMultiLvlLbl val="0"/>
      </c:catAx>
      <c:valAx>
        <c:axId val="59871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0466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Likelihood of Falling from a Horse 
per 2000 Hours Riding Time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24725"/>
          <c:w val="0.96625"/>
          <c:h val="0.72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'11FallLikelihood'!$B$2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1968431"/>
        <c:axId val="17715880"/>
      </c:bar3DChart>
      <c:catAx>
        <c:axId val="1968431"/>
        <c:scaling>
          <c:orientation val="minMax"/>
        </c:scaling>
        <c:axPos val="b"/>
        <c:delete val="1"/>
        <c:majorTickMark val="out"/>
        <c:minorTickMark val="none"/>
        <c:tickLblPos val="low"/>
        <c:crossAx val="17715880"/>
        <c:crosses val="autoZero"/>
        <c:auto val="1"/>
        <c:lblOffset val="100"/>
        <c:noMultiLvlLbl val="0"/>
      </c:catAx>
      <c:valAx>
        <c:axId val="177158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Falls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6843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FFFF"/>
        </a:solidFill>
      </c:spPr>
      <c:thickness val="0"/>
    </c:floor>
    <c:sideWall>
      <c:spPr>
        <a:solidFill>
          <a:srgbClr val="FFFFCC"/>
        </a:solidFill>
        <a:ln w="3175">
          <a:noFill/>
        </a:ln>
      </c:spPr>
      <c:thickness val="0"/>
    </c:sideWall>
    <c:backWall>
      <c:spPr>
        <a:solidFill>
          <a:srgbClr val="FFFFCC"/>
        </a:solidFill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Riding Time per Year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ExposureHours12!$B$9</c:f>
              <c:strCache>
                <c:ptCount val="1"/>
                <c:pt idx="0">
                  <c:v>Hours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ExposureHours12!$A$10:$A$11</c:f>
              <c:strCache/>
            </c:strRef>
          </c:cat>
          <c:val>
            <c:numRef>
              <c:f>ExposureHours12!$B$10:$B$11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Helmet Effectiveness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9999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'13HelmetEffectiveness'!$B$9:$B$10</c:f>
              <c:strCache/>
            </c:strRef>
          </c:cat>
          <c:val>
            <c:numRef>
              <c:f>'13HelmetEffectiveness'!$C$9:$C$10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With a Helmet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5"/>
          <c:y val="0.35875"/>
          <c:w val="0.53875"/>
          <c:h val="0.325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CC99FF"/>
              </a:solidFill>
            </c:spPr>
          </c:dPt>
          <c:dPt>
            <c:idx val="4"/>
            <c:spPr>
              <a:solidFill>
                <a:srgbClr val="CC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9Probabilities!$K$7:$K$11</c:f>
              <c:strCache/>
            </c:strRef>
          </c:cat>
          <c:val>
            <c:numRef>
              <c:f>9Probabilities!$L$7:$L$11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Without a Helmet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5"/>
          <c:y val="0.332"/>
          <c:w val="0.51075"/>
          <c:h val="0.36725"/>
        </c:manualLayout>
      </c:layout>
      <c:pie3DChart>
        <c:varyColors val="1"/>
        <c:ser>
          <c:idx val="0"/>
          <c:order val="0"/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CC99FF"/>
              </a:solidFill>
            </c:spPr>
          </c:dPt>
          <c:dPt>
            <c:idx val="4"/>
            <c:spPr>
              <a:solidFill>
                <a:srgbClr val="CC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9Probabilities!$K$16:$K$20</c:f>
              <c:strCache/>
            </c:strRef>
          </c:cat>
          <c:val>
            <c:numRef>
              <c:f>9Probabilities!$L$16:$L$20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Injuries Averted by Wearing a Helmet per 100,000 Riders per Year</a:t>
            </a:r>
          </a:p>
        </c:rich>
      </c:tx>
      <c:layout>
        <c:manualLayout>
          <c:xMode val="factor"/>
          <c:yMode val="factor"/>
          <c:x val="-0.00175"/>
          <c:y val="-0.019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6"/>
          <c:y val="0.26375"/>
          <c:w val="0.628"/>
          <c:h val="0.545"/>
        </c:manualLayout>
      </c:layout>
      <c:pie3DChart>
        <c:varyColors val="1"/>
        <c:ser>
          <c:idx val="0"/>
          <c:order val="0"/>
          <c:tx>
            <c:strRef>
              <c:f>'10InjuriesAverted'!$P$15</c:f>
              <c:strCache>
                <c:ptCount val="1"/>
                <c:pt idx="0">
                  <c:v>In juries Averted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CC99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'10InjuriesAverted'!$O$16:$O$19</c:f>
              <c:strCache>
                <c:ptCount val="4"/>
                <c:pt idx="0">
                  <c:v>deaths</c:v>
                </c:pt>
                <c:pt idx="1">
                  <c:v>disabilities</c:v>
                </c:pt>
                <c:pt idx="2">
                  <c:v>hospitalizations</c:v>
                </c:pt>
                <c:pt idx="3">
                  <c:v>outpatients</c:v>
                </c:pt>
              </c:strCache>
            </c:strRef>
          </c:cat>
          <c:val>
            <c:numRef>
              <c:f>'10InjuriesAverted'!$P$16:$P$19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Comparison of Injury Costs With and Without Inflation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5"/>
          <c:w val="0.93775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'11Schedule'!$B$36</c:f>
              <c:strCache>
                <c:ptCount val="1"/>
                <c:pt idx="0">
                  <c:v>Cost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'11Schedule'!$A$37:$A$41</c:f>
              <c:strCache/>
            </c:strRef>
          </c:cat>
          <c:val>
            <c:numRef>
              <c:f>'11Schedule'!$B$37:$B$41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'11Schedule'!$C$36</c:f>
              <c:strCache>
                <c:ptCount val="1"/>
                <c:pt idx="0">
                  <c:v>Plus Inflation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'11Schedule'!$A$37:$A$41</c:f>
              <c:strCache/>
            </c:strRef>
          </c:cat>
          <c:val>
            <c:numRef>
              <c:f>'11Schedule'!$C$37:$C$41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5225193"/>
        <c:axId val="25700146"/>
      </c:barChart>
      <c:catAx>
        <c:axId val="25225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00146"/>
        <c:crosses val="autoZero"/>
        <c:auto val="1"/>
        <c:lblOffset val="100"/>
        <c:noMultiLvlLbl val="0"/>
      </c:catAx>
      <c:valAx>
        <c:axId val="257001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25193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5"/>
          <c:y val="0.279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Discount Rate Comparison for Kentucky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'17Discounting'!$C$25</c:f>
              <c:strCache>
                <c:ptCount val="1"/>
                <c:pt idx="0">
                  <c:v>0.0%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'17Discounting'!$B$26:$B$30</c:f>
              <c:strCache/>
            </c:strRef>
          </c:cat>
          <c:val>
            <c:numRef>
              <c:f>'17Discounting'!$C$26:$C$30</c:f>
              <c:numCache>
                <c:ptCount val="5"/>
                <c:pt idx="0">
                  <c:v>-8452.95</c:v>
                </c:pt>
                <c:pt idx="1">
                  <c:v>356977.05613247637</c:v>
                </c:pt>
                <c:pt idx="2">
                  <c:v>221910.66141503502</c:v>
                </c:pt>
                <c:pt idx="3">
                  <c:v>41813.845507089085</c:v>
                </c:pt>
                <c:pt idx="4">
                  <c:v>21476.661967763514</c:v>
                </c:pt>
              </c:numCache>
            </c:numRef>
          </c:val>
        </c:ser>
        <c:ser>
          <c:idx val="1"/>
          <c:order val="1"/>
          <c:tx>
            <c:strRef>
              <c:f>'17Discounting'!$D$25</c:f>
              <c:strCache>
                <c:ptCount val="1"/>
                <c:pt idx="0">
                  <c:v>0.0%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'17Discounting'!$B$26:$B$30</c:f>
              <c:strCache/>
            </c:strRef>
          </c:cat>
          <c:val>
            <c:numRef>
              <c:f>'17Discounting'!$D$26:$D$30</c:f>
              <c:numCache>
                <c:ptCount val="5"/>
                <c:pt idx="0">
                  <c:v>-8452.95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9974723"/>
        <c:axId val="1337052"/>
      </c:barChart>
      <c:catAx>
        <c:axId val="29974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Injury Severity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7052"/>
        <c:crosses val="autoZero"/>
        <c:auto val="1"/>
        <c:lblOffset val="100"/>
        <c:noMultiLvlLbl val="0"/>
      </c:catAx>
      <c:valAx>
        <c:axId val="13370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7472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Annual Cost for Heather's Lifetime  Care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CC99FF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FFFF00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2AnnualCosts!$A$15:$A$21</c:f>
              <c:strCache/>
            </c:strRef>
          </c:cat>
          <c:val>
            <c:numRef>
              <c:f>2AnnualCosts!$B$15:$B$21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Cost Savings per Injury Averted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36"/>
          <c:y val="0.13375"/>
          <c:w val="0.962"/>
          <c:h val="0.80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'12CostEffectiveness'!$D$26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'12CostEffectiveness'!$E$25:$G$25</c:f>
              <c:strCache/>
            </c:strRef>
          </c:cat>
          <c:val>
            <c:numRef>
              <c:f>'12CostEffectiveness'!$E$26:$G$26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gapDepth val="0"/>
        <c:shape val="box"/>
        <c:axId val="12033469"/>
        <c:axId val="41192358"/>
      </c:bar3DChart>
      <c:catAx>
        <c:axId val="12033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Parameter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1192358"/>
        <c:crosses val="autoZero"/>
        <c:auto val="1"/>
        <c:lblOffset val="100"/>
        <c:tickLblSkip val="1"/>
        <c:noMultiLvlLbl val="0"/>
      </c:catAx>
      <c:valAx>
        <c:axId val="411923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03346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Break-Even Point (Payback Period)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2875"/>
          <c:w val="0.966"/>
          <c:h val="0.79175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'19BreakEven'!$B$17:$B$19</c:f>
              <c:strCache/>
            </c:strRef>
          </c:cat>
          <c:val>
            <c:numRef>
              <c:f>'19BreakEven'!$C$17:$C$19</c:f>
              <c:numCache>
                <c:ptCount val="3"/>
                <c:pt idx="0">
                  <c:v>9.477312937211549</c:v>
                </c:pt>
                <c:pt idx="1">
                  <c:v>1.9912408128651298</c:v>
                </c:pt>
                <c:pt idx="2">
                  <c:v>0.6417774024720686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'19BreakEven'!$B$17:$B$19</c:f>
              <c:strCache/>
            </c:strRef>
          </c:cat>
          <c:val>
            <c:numRef>
              <c:f>'19BreakEven'!$D$17:$D$19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overlap val="100"/>
        <c:shape val="box"/>
        <c:axId val="35186903"/>
        <c:axId val="48246672"/>
      </c:bar3DChart>
      <c:catAx>
        <c:axId val="35186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Parameter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8246672"/>
        <c:crosses val="autoZero"/>
        <c:auto val="1"/>
        <c:lblOffset val="100"/>
        <c:noMultiLvlLbl val="0"/>
      </c:catAx>
      <c:valAx>
        <c:axId val="48246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8690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FFFF"/>
        </a:solidFill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Benefit/Cost Analysis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'13BenefitCost'!$D$19</c:f>
              <c:strCache>
                <c:ptCount val="1"/>
                <c:pt idx="0">
                  <c:v>Benefit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'13BenefitCost'!$E$18:$G$18</c:f>
              <c:strCache/>
            </c:strRef>
          </c:cat>
          <c:val>
            <c:numRef>
              <c:f>'13BenefitCost'!$E$19:$G$19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strRef>
              <c:f>'13BenefitCost'!$D$20</c:f>
              <c:strCache>
                <c:ptCount val="1"/>
                <c:pt idx="0">
                  <c:v>Cost</c:v>
                </c:pt>
              </c:strCache>
            </c:strRef>
          </c:tx>
          <c:spPr>
            <a:solidFill>
              <a:srgbClr val="00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'13BenefitCost'!$E$18:$G$18</c:f>
              <c:strCache/>
            </c:strRef>
          </c:cat>
          <c:val>
            <c:numRef>
              <c:f>'13BenefitCost'!$E$20:$G$20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1566865"/>
        <c:axId val="15666330"/>
      </c:barChart>
      <c:lineChart>
        <c:grouping val="standard"/>
        <c:varyColors val="0"/>
        <c:ser>
          <c:idx val="2"/>
          <c:order val="2"/>
          <c:tx>
            <c:strRef>
              <c:f>'13BenefitCost'!$D$21</c:f>
              <c:strCache>
                <c:ptCount val="1"/>
                <c:pt idx="0">
                  <c:v>Ratio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'13BenefitCost'!$E$18:$G$18</c:f>
              <c:strCache/>
            </c:strRef>
          </c:cat>
          <c:val>
            <c:numRef>
              <c:f>'13BenefitCost'!$E$21:$G$21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axId val="6779243"/>
        <c:axId val="61013188"/>
      </c:lineChart>
      <c:catAx>
        <c:axId val="31566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Parameter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666330"/>
        <c:crosses val="autoZero"/>
        <c:auto val="0"/>
        <c:lblOffset val="100"/>
        <c:tickLblSkip val="1"/>
        <c:noMultiLvlLbl val="0"/>
      </c:catAx>
      <c:valAx>
        <c:axId val="156663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566865"/>
        <c:crossesAt val="1"/>
        <c:crossBetween val="between"/>
        <c:dispUnits/>
      </c:valAx>
      <c:catAx>
        <c:axId val="6779243"/>
        <c:scaling>
          <c:orientation val="minMax"/>
        </c:scaling>
        <c:axPos val="b"/>
        <c:delete val="1"/>
        <c:majorTickMark val="in"/>
        <c:minorTickMark val="none"/>
        <c:tickLblPos val="nextTo"/>
        <c:crossAx val="61013188"/>
        <c:crosses val="autoZero"/>
        <c:auto val="0"/>
        <c:lblOffset val="100"/>
        <c:tickLblSkip val="1"/>
        <c:noMultiLvlLbl val="0"/>
      </c:catAx>
      <c:valAx>
        <c:axId val="610131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779243"/>
        <c:crosses val="max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Accumulated Life Care Cost (discounted) for Heather Over Her Lifetime</a:t>
            </a:r>
          </a:p>
        </c:rich>
      </c:tx>
      <c:layout>
        <c:manualLayout>
          <c:xMode val="factor"/>
          <c:yMode val="factor"/>
          <c:x val="-0.002"/>
          <c:y val="0.032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183"/>
          <c:w val="0.9655"/>
          <c:h val="0.743"/>
        </c:manualLayout>
      </c:layout>
      <c:area3DChart>
        <c:grouping val="stacked"/>
        <c:varyColors val="0"/>
        <c:ser>
          <c:idx val="0"/>
          <c:order val="0"/>
          <c:tx>
            <c:strRef>
              <c:f>3LifeCare!$H$6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3LifeCare!$G$7:$G$67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cat>
          <c:val>
            <c:numRef>
              <c:f>3LifeCare!$H$7:$H$67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axId val="64046489"/>
        <c:axId val="39547490"/>
      </c:area3DChart>
      <c:catAx>
        <c:axId val="64046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9547490"/>
        <c:crosses val="autoZero"/>
        <c:auto val="1"/>
        <c:lblOffset val="100"/>
        <c:noMultiLvlLbl val="0"/>
      </c:catAx>
      <c:valAx>
        <c:axId val="395474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46489"/>
        <c:crossesAt val="1"/>
        <c:crossBetween val="midCat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Direct Costs (Medical Care) Distribution 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4CostDistribution!$D$6</c:f>
              <c:strCache>
                <c:ptCount val="1"/>
                <c:pt idx="0">
                  <c:v>Out-of-pocket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4CostDistribution!$C$7:$C$67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cat>
          <c:val>
            <c:numRef>
              <c:f>4CostDistribution!$D$7:$D$67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ser>
          <c:idx val="1"/>
          <c:order val="1"/>
          <c:tx>
            <c:strRef>
              <c:f>4CostDistribution!$E$6</c:f>
              <c:strCache>
                <c:ptCount val="1"/>
                <c:pt idx="0">
                  <c:v>Private Insurance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4CostDistribution!$C$7:$C$67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cat>
          <c:val>
            <c:numRef>
              <c:f>4CostDistribution!$E$7:$E$67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ser>
          <c:idx val="2"/>
          <c:order val="2"/>
          <c:tx>
            <c:strRef>
              <c:f>4CostDistribution!$F$6</c:f>
              <c:strCache>
                <c:ptCount val="1"/>
                <c:pt idx="0">
                  <c:v>Social Security Insurance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4CostDistribution!$C$7:$C$67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cat>
          <c:val>
            <c:numRef>
              <c:f>4CostDistribution!$F$7:$F$67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ser>
          <c:idx val="3"/>
          <c:order val="3"/>
          <c:tx>
            <c:strRef>
              <c:f>4CostDistribution!$G$6</c:f>
              <c:strCache>
                <c:ptCount val="1"/>
                <c:pt idx="0">
                  <c:v>Medicaid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4CostDistribution!$C$7:$C$67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cat>
          <c:val>
            <c:numRef>
              <c:f>4CostDistribution!$G$7:$G$67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axId val="20383091"/>
        <c:axId val="49230092"/>
      </c:areaChart>
      <c:catAx>
        <c:axId val="20383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Heather's 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30092"/>
        <c:crosses val="autoZero"/>
        <c:auto val="1"/>
        <c:lblOffset val="100"/>
        <c:noMultiLvlLbl val="0"/>
      </c:catAx>
      <c:valAx>
        <c:axId val="49230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Accumulated 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38309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Direct Costs Distribution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4CostDistribution!$A$38:$A$41</c:f>
              <c:strCache/>
            </c:strRef>
          </c:cat>
          <c:val>
            <c:numRef>
              <c:f>4CostDistribution!$B$38:$B$41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First Year Intervention Cost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5InterventionCost!$B$9:$B$10</c:f>
              <c:strCache/>
            </c:strRef>
          </c:cat>
          <c:val>
            <c:numRef>
              <c:f>5InterventionCost!$C$9:$C$10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Accumulated Cost of Supervison (undiscounted)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6YearCost!$C$13:$C$17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40417645"/>
        <c:axId val="28214486"/>
      </c:bar3DChart>
      <c:catAx>
        <c:axId val="40417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8214486"/>
        <c:crosses val="autoZero"/>
        <c:auto val="1"/>
        <c:lblOffset val="100"/>
        <c:noMultiLvlLbl val="0"/>
      </c:catAx>
      <c:valAx>
        <c:axId val="282144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1764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Accumulated Cost of Supervision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7DiscountedCost!$C$19</c:f>
              <c:strCache>
                <c:ptCount val="1"/>
                <c:pt idx="0">
                  <c:v>undiscounted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7DiscountedCost!$B$20:$B$24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7DiscountedCost!$C$20:$C$24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7DiscountedCost!$D$19</c:f>
              <c:strCache>
                <c:ptCount val="1"/>
                <c:pt idx="0">
                  <c:v>discounted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7DiscountedCost!$B$20:$B$24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7DiscountedCost!$D$20:$D$24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52603783"/>
        <c:axId val="3672000"/>
      </c:bar3DChart>
      <c:catAx>
        <c:axId val="52603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72000"/>
        <c:crosses val="autoZero"/>
        <c:auto val="1"/>
        <c:lblOffset val="100"/>
        <c:noMultiLvlLbl val="0"/>
      </c:catAx>
      <c:valAx>
        <c:axId val="36720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037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 Amount of Money Owed by Dan if He Paid Nothing on his Loan for 5 Years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6Interest!$D$10</c:f>
              <c:strCache>
                <c:ptCount val="1"/>
                <c:pt idx="0">
                  <c:v>Dollars</c:v>
                </c:pt>
              </c:strCache>
            </c:strRef>
          </c:tx>
          <c:spPr>
            <a:solidFill>
              <a:srgbClr val="00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6Interest!$C$11:$C$15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6Interest!$D$11:$D$15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overlap val="100"/>
        <c:shape val="box"/>
        <c:axId val="33048001"/>
        <c:axId val="28996554"/>
      </c:bar3DChart>
      <c:catAx>
        <c:axId val="33048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8996554"/>
        <c:crosses val="autoZero"/>
        <c:auto val="1"/>
        <c:lblOffset val="100"/>
        <c:noMultiLvlLbl val="0"/>
      </c:catAx>
      <c:valAx>
        <c:axId val="289965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Amount Owed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04800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5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8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image" Target="../media/image7.png" /><Relationship Id="rId4" Type="http://schemas.openxmlformats.org/officeDocument/2006/relationships/image" Target="../media/image1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9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0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114300</xdr:rowOff>
    </xdr:from>
    <xdr:to>
      <xdr:col>7</xdr:col>
      <xdr:colOff>600075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0" y="3143250"/>
        <a:ext cx="56102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0</xdr:row>
      <xdr:rowOff>85725</xdr:rowOff>
    </xdr:from>
    <xdr:to>
      <xdr:col>7</xdr:col>
      <xdr:colOff>590550</xdr:colOff>
      <xdr:row>10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85725"/>
          <a:ext cx="13335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38100</xdr:rowOff>
    </xdr:from>
    <xdr:to>
      <xdr:col>9</xdr:col>
      <xdr:colOff>0</xdr:colOff>
      <xdr:row>46</xdr:row>
      <xdr:rowOff>47625</xdr:rowOff>
    </xdr:to>
    <xdr:graphicFrame>
      <xdr:nvGraphicFramePr>
        <xdr:cNvPr id="1" name="Chart 5"/>
        <xdr:cNvGraphicFramePr/>
      </xdr:nvGraphicFramePr>
      <xdr:xfrm>
        <a:off x="47625" y="3048000"/>
        <a:ext cx="54102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</xdr:row>
      <xdr:rowOff>19050</xdr:rowOff>
    </xdr:from>
    <xdr:to>
      <xdr:col>6</xdr:col>
      <xdr:colOff>47625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85725" y="2514600"/>
        <a:ext cx="58674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</xdr:row>
      <xdr:rowOff>171450</xdr:rowOff>
    </xdr:from>
    <xdr:to>
      <xdr:col>0</xdr:col>
      <xdr:colOff>1828800</xdr:colOff>
      <xdr:row>16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61950"/>
          <a:ext cx="180975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</xdr:row>
      <xdr:rowOff>0</xdr:rowOff>
    </xdr:from>
    <xdr:to>
      <xdr:col>6</xdr:col>
      <xdr:colOff>9525</xdr:colOff>
      <xdr:row>24</xdr:row>
      <xdr:rowOff>114300</xdr:rowOff>
    </xdr:to>
    <xdr:graphicFrame>
      <xdr:nvGraphicFramePr>
        <xdr:cNvPr id="1" name="Chart 6"/>
        <xdr:cNvGraphicFramePr/>
      </xdr:nvGraphicFramePr>
      <xdr:xfrm>
        <a:off x="314325" y="904875"/>
        <a:ext cx="55721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7</xdr:row>
      <xdr:rowOff>95250</xdr:rowOff>
    </xdr:from>
    <xdr:to>
      <xdr:col>0</xdr:col>
      <xdr:colOff>1685925</xdr:colOff>
      <xdr:row>17</xdr:row>
      <xdr:rowOff>123825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23975"/>
          <a:ext cx="16764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104775</xdr:rowOff>
    </xdr:from>
    <xdr:to>
      <xdr:col>3</xdr:col>
      <xdr:colOff>104775</xdr:colOff>
      <xdr:row>23</xdr:row>
      <xdr:rowOff>152400</xdr:rowOff>
    </xdr:to>
    <xdr:graphicFrame>
      <xdr:nvGraphicFramePr>
        <xdr:cNvPr id="1" name="Chart 6"/>
        <xdr:cNvGraphicFramePr/>
      </xdr:nvGraphicFramePr>
      <xdr:xfrm>
        <a:off x="38100" y="1209675"/>
        <a:ext cx="47339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6</xdr:row>
      <xdr:rowOff>85725</xdr:rowOff>
    </xdr:from>
    <xdr:to>
      <xdr:col>4</xdr:col>
      <xdr:colOff>704850</xdr:colOff>
      <xdr:row>24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1190625"/>
          <a:ext cx="2371725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1</xdr:row>
      <xdr:rowOff>47625</xdr:rowOff>
    </xdr:from>
    <xdr:to>
      <xdr:col>14</xdr:col>
      <xdr:colOff>133350</xdr:colOff>
      <xdr:row>19</xdr:row>
      <xdr:rowOff>47625</xdr:rowOff>
    </xdr:to>
    <xdr:graphicFrame>
      <xdr:nvGraphicFramePr>
        <xdr:cNvPr id="1" name="Chart 5"/>
        <xdr:cNvGraphicFramePr/>
      </xdr:nvGraphicFramePr>
      <xdr:xfrm>
        <a:off x="5743575" y="161925"/>
        <a:ext cx="5210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15</xdr:row>
      <xdr:rowOff>57150</xdr:rowOff>
    </xdr:from>
    <xdr:to>
      <xdr:col>14</xdr:col>
      <xdr:colOff>428625</xdr:colOff>
      <xdr:row>33</xdr:row>
      <xdr:rowOff>38100</xdr:rowOff>
    </xdr:to>
    <xdr:graphicFrame>
      <xdr:nvGraphicFramePr>
        <xdr:cNvPr id="2" name="Chart 6"/>
        <xdr:cNvGraphicFramePr/>
      </xdr:nvGraphicFramePr>
      <xdr:xfrm>
        <a:off x="6010275" y="2000250"/>
        <a:ext cx="52387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25</xdr:row>
      <xdr:rowOff>19050</xdr:rowOff>
    </xdr:from>
    <xdr:to>
      <xdr:col>1</xdr:col>
      <xdr:colOff>2228850</xdr:colOff>
      <xdr:row>45</xdr:row>
      <xdr:rowOff>123825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9525"/>
          <a:ext cx="2838450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133350</xdr:colOff>
      <xdr:row>0</xdr:row>
      <xdr:rowOff>0</xdr:rowOff>
    </xdr:from>
    <xdr:to>
      <xdr:col>14</xdr:col>
      <xdr:colOff>590550</xdr:colOff>
      <xdr:row>10</xdr:row>
      <xdr:rowOff>19050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24950" y="0"/>
          <a:ext cx="2286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</xdr:row>
      <xdr:rowOff>28575</xdr:rowOff>
    </xdr:from>
    <xdr:to>
      <xdr:col>19</xdr:col>
      <xdr:colOff>685800</xdr:colOff>
      <xdr:row>26</xdr:row>
      <xdr:rowOff>0</xdr:rowOff>
    </xdr:to>
    <xdr:graphicFrame>
      <xdr:nvGraphicFramePr>
        <xdr:cNvPr id="1" name="Chart 19"/>
        <xdr:cNvGraphicFramePr/>
      </xdr:nvGraphicFramePr>
      <xdr:xfrm>
        <a:off x="209550" y="228600"/>
        <a:ext cx="52863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276225</xdr:colOff>
      <xdr:row>6</xdr:row>
      <xdr:rowOff>0</xdr:rowOff>
    </xdr:from>
    <xdr:to>
      <xdr:col>15</xdr:col>
      <xdr:colOff>742950</xdr:colOff>
      <xdr:row>12</xdr:row>
      <xdr:rowOff>152400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781050"/>
          <a:ext cx="23717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38100</xdr:rowOff>
    </xdr:from>
    <xdr:to>
      <xdr:col>7</xdr:col>
      <xdr:colOff>561975</xdr:colOff>
      <xdr:row>45</xdr:row>
      <xdr:rowOff>66675</xdr:rowOff>
    </xdr:to>
    <xdr:graphicFrame>
      <xdr:nvGraphicFramePr>
        <xdr:cNvPr id="1" name="Chart 3"/>
        <xdr:cNvGraphicFramePr/>
      </xdr:nvGraphicFramePr>
      <xdr:xfrm>
        <a:off x="0" y="4171950"/>
        <a:ext cx="56769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285750</xdr:colOff>
      <xdr:row>7</xdr:row>
      <xdr:rowOff>85725</xdr:rowOff>
    </xdr:from>
    <xdr:to>
      <xdr:col>7</xdr:col>
      <xdr:colOff>504825</xdr:colOff>
      <xdr:row>16</xdr:row>
      <xdr:rowOff>19050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0" y="1219200"/>
          <a:ext cx="11430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142875</xdr:rowOff>
    </xdr:from>
    <xdr:to>
      <xdr:col>7</xdr:col>
      <xdr:colOff>542925</xdr:colOff>
      <xdr:row>47</xdr:row>
      <xdr:rowOff>123825</xdr:rowOff>
    </xdr:to>
    <xdr:graphicFrame>
      <xdr:nvGraphicFramePr>
        <xdr:cNvPr id="1" name="Chart 6"/>
        <xdr:cNvGraphicFramePr/>
      </xdr:nvGraphicFramePr>
      <xdr:xfrm>
        <a:off x="28575" y="4057650"/>
        <a:ext cx="54102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152400</xdr:rowOff>
    </xdr:from>
    <xdr:to>
      <xdr:col>7</xdr:col>
      <xdr:colOff>466725</xdr:colOff>
      <xdr:row>42</xdr:row>
      <xdr:rowOff>66675</xdr:rowOff>
    </xdr:to>
    <xdr:graphicFrame>
      <xdr:nvGraphicFramePr>
        <xdr:cNvPr id="1" name="Chart 3"/>
        <xdr:cNvGraphicFramePr/>
      </xdr:nvGraphicFramePr>
      <xdr:xfrm>
        <a:off x="28575" y="3838575"/>
        <a:ext cx="51530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38100</xdr:rowOff>
    </xdr:from>
    <xdr:to>
      <xdr:col>7</xdr:col>
      <xdr:colOff>542925</xdr:colOff>
      <xdr:row>32</xdr:row>
      <xdr:rowOff>0</xdr:rowOff>
    </xdr:to>
    <xdr:graphicFrame>
      <xdr:nvGraphicFramePr>
        <xdr:cNvPr id="1" name="Chart 6"/>
        <xdr:cNvGraphicFramePr/>
      </xdr:nvGraphicFramePr>
      <xdr:xfrm>
        <a:off x="9525" y="2400300"/>
        <a:ext cx="57626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104775</xdr:rowOff>
    </xdr:from>
    <xdr:to>
      <xdr:col>7</xdr:col>
      <xdr:colOff>571500</xdr:colOff>
      <xdr:row>46</xdr:row>
      <xdr:rowOff>66675</xdr:rowOff>
    </xdr:to>
    <xdr:graphicFrame>
      <xdr:nvGraphicFramePr>
        <xdr:cNvPr id="1" name="Chart 9"/>
        <xdr:cNvGraphicFramePr/>
      </xdr:nvGraphicFramePr>
      <xdr:xfrm>
        <a:off x="0" y="4267200"/>
        <a:ext cx="5943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142875</xdr:colOff>
      <xdr:row>1</xdr:row>
      <xdr:rowOff>0</xdr:rowOff>
    </xdr:from>
    <xdr:to>
      <xdr:col>7</xdr:col>
      <xdr:colOff>552450</xdr:colOff>
      <xdr:row>13</xdr:row>
      <xdr:rowOff>9525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190500"/>
          <a:ext cx="162877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9525</xdr:rowOff>
    </xdr:from>
    <xdr:to>
      <xdr:col>7</xdr:col>
      <xdr:colOff>485775</xdr:colOff>
      <xdr:row>45</xdr:row>
      <xdr:rowOff>76200</xdr:rowOff>
    </xdr:to>
    <xdr:graphicFrame>
      <xdr:nvGraphicFramePr>
        <xdr:cNvPr id="1" name="Chart 3"/>
        <xdr:cNvGraphicFramePr/>
      </xdr:nvGraphicFramePr>
      <xdr:xfrm>
        <a:off x="9525" y="2676525"/>
        <a:ext cx="48577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57150</xdr:rowOff>
    </xdr:from>
    <xdr:to>
      <xdr:col>7</xdr:col>
      <xdr:colOff>762000</xdr:colOff>
      <xdr:row>53</xdr:row>
      <xdr:rowOff>114300</xdr:rowOff>
    </xdr:to>
    <xdr:graphicFrame>
      <xdr:nvGraphicFramePr>
        <xdr:cNvPr id="1" name="Chart 4"/>
        <xdr:cNvGraphicFramePr/>
      </xdr:nvGraphicFramePr>
      <xdr:xfrm>
        <a:off x="0" y="5181600"/>
        <a:ext cx="57054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0</xdr:row>
      <xdr:rowOff>28575</xdr:rowOff>
    </xdr:from>
    <xdr:to>
      <xdr:col>8</xdr:col>
      <xdr:colOff>0</xdr:colOff>
      <xdr:row>18</xdr:row>
      <xdr:rowOff>47625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28575"/>
          <a:ext cx="312420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57150</xdr:rowOff>
    </xdr:from>
    <xdr:to>
      <xdr:col>8</xdr:col>
      <xdr:colOff>561975</xdr:colOff>
      <xdr:row>24</xdr:row>
      <xdr:rowOff>133350</xdr:rowOff>
    </xdr:to>
    <xdr:graphicFrame>
      <xdr:nvGraphicFramePr>
        <xdr:cNvPr id="1" name="Chart 38"/>
        <xdr:cNvGraphicFramePr/>
      </xdr:nvGraphicFramePr>
      <xdr:xfrm>
        <a:off x="9525" y="628650"/>
        <a:ext cx="59626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133350</xdr:rowOff>
    </xdr:from>
    <xdr:to>
      <xdr:col>8</xdr:col>
      <xdr:colOff>581025</xdr:colOff>
      <xdr:row>47</xdr:row>
      <xdr:rowOff>19050</xdr:rowOff>
    </xdr:to>
    <xdr:graphicFrame>
      <xdr:nvGraphicFramePr>
        <xdr:cNvPr id="2" name="Chart 39"/>
        <xdr:cNvGraphicFramePr/>
      </xdr:nvGraphicFramePr>
      <xdr:xfrm>
        <a:off x="0" y="4105275"/>
        <a:ext cx="599122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38100</xdr:rowOff>
    </xdr:from>
    <xdr:to>
      <xdr:col>9</xdr:col>
      <xdr:colOff>561975</xdr:colOff>
      <xdr:row>29</xdr:row>
      <xdr:rowOff>57150</xdr:rowOff>
    </xdr:to>
    <xdr:graphicFrame>
      <xdr:nvGraphicFramePr>
        <xdr:cNvPr id="1" name="Chart 12"/>
        <xdr:cNvGraphicFramePr/>
      </xdr:nvGraphicFramePr>
      <xdr:xfrm>
        <a:off x="28575" y="1381125"/>
        <a:ext cx="56292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19</xdr:row>
      <xdr:rowOff>104775</xdr:rowOff>
    </xdr:from>
    <xdr:to>
      <xdr:col>3</xdr:col>
      <xdr:colOff>133350</xdr:colOff>
      <xdr:row>32</xdr:row>
      <xdr:rowOff>47625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228975"/>
          <a:ext cx="19240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</xdr:row>
      <xdr:rowOff>28575</xdr:rowOff>
    </xdr:from>
    <xdr:to>
      <xdr:col>8</xdr:col>
      <xdr:colOff>476250</xdr:colOff>
      <xdr:row>31</xdr:row>
      <xdr:rowOff>95250</xdr:rowOff>
    </xdr:to>
    <xdr:graphicFrame>
      <xdr:nvGraphicFramePr>
        <xdr:cNvPr id="1" name="Chart 4"/>
        <xdr:cNvGraphicFramePr/>
      </xdr:nvGraphicFramePr>
      <xdr:xfrm>
        <a:off x="28575" y="1895475"/>
        <a:ext cx="53244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29</xdr:row>
      <xdr:rowOff>28575</xdr:rowOff>
    </xdr:from>
    <xdr:to>
      <xdr:col>8</xdr:col>
      <xdr:colOff>514350</xdr:colOff>
      <xdr:row>41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810125"/>
          <a:ext cx="53530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57150</xdr:rowOff>
    </xdr:from>
    <xdr:to>
      <xdr:col>8</xdr:col>
      <xdr:colOff>542925</xdr:colOff>
      <xdr:row>37</xdr:row>
      <xdr:rowOff>104775</xdr:rowOff>
    </xdr:to>
    <xdr:graphicFrame>
      <xdr:nvGraphicFramePr>
        <xdr:cNvPr id="1" name="Chart 13"/>
        <xdr:cNvGraphicFramePr/>
      </xdr:nvGraphicFramePr>
      <xdr:xfrm>
        <a:off x="0" y="2895600"/>
        <a:ext cx="54197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38100</xdr:rowOff>
    </xdr:from>
    <xdr:to>
      <xdr:col>8</xdr:col>
      <xdr:colOff>581025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0" y="158115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3</xdr:col>
      <xdr:colOff>381000</xdr:colOff>
      <xdr:row>42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953000"/>
          <a:ext cx="220027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9525</xdr:rowOff>
    </xdr:from>
    <xdr:to>
      <xdr:col>8</xdr:col>
      <xdr:colOff>180975</xdr:colOff>
      <xdr:row>50</xdr:row>
      <xdr:rowOff>95250</xdr:rowOff>
    </xdr:to>
    <xdr:graphicFrame>
      <xdr:nvGraphicFramePr>
        <xdr:cNvPr id="1" name="Chart 11"/>
        <xdr:cNvGraphicFramePr/>
      </xdr:nvGraphicFramePr>
      <xdr:xfrm>
        <a:off x="0" y="4010025"/>
        <a:ext cx="52673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nhtsa.dot.gov/people/economic/econimpact2000/appendix_a.htm" TargetMode="External" /><Relationship Id="rId2" Type="http://schemas.openxmlformats.org/officeDocument/2006/relationships/hyperlink" Target="http://www.bls.gov/cpi/home.htm" TargetMode="External" /><Relationship Id="rId3" Type="http://schemas.openxmlformats.org/officeDocument/2006/relationships/comments" Target="../comments16.xml" /><Relationship Id="rId4" Type="http://schemas.openxmlformats.org/officeDocument/2006/relationships/vmlDrawing" Target="../drawings/vmlDrawing9.vml" /><Relationship Id="rId5" Type="http://schemas.openxmlformats.org/officeDocument/2006/relationships/drawing" Target="../drawings/drawing16.xml" /><Relationship Id="rId6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90" zoomScaleNormal="90" workbookViewId="0" topLeftCell="A1">
      <selection activeCell="A2" sqref="A2"/>
    </sheetView>
  </sheetViews>
  <sheetFormatPr defaultColWidth="9.140625" defaultRowHeight="12.75"/>
  <cols>
    <col min="1" max="1" width="24.7109375" style="0" customWidth="1"/>
    <col min="3" max="3" width="4.7109375" style="0" customWidth="1"/>
  </cols>
  <sheetData>
    <row r="1" spans="1:8" ht="15">
      <c r="A1" s="332" t="s">
        <v>196</v>
      </c>
      <c r="B1" s="332"/>
      <c r="C1" s="332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2.75">
      <c r="A4" s="22" t="s">
        <v>129</v>
      </c>
      <c r="B4" s="22" t="s">
        <v>132</v>
      </c>
      <c r="C4" s="4"/>
      <c r="D4" s="331" t="s">
        <v>97</v>
      </c>
      <c r="E4" s="331"/>
      <c r="F4" s="4"/>
      <c r="G4" s="22"/>
      <c r="H4" s="4"/>
    </row>
    <row r="5" spans="1:8" ht="12.75">
      <c r="A5" s="4"/>
      <c r="B5" s="4"/>
      <c r="C5" s="4"/>
      <c r="D5" s="4" t="s">
        <v>81</v>
      </c>
      <c r="E5" s="4" t="s">
        <v>82</v>
      </c>
      <c r="F5" s="4" t="s">
        <v>80</v>
      </c>
      <c r="G5" s="4"/>
      <c r="H5" s="4"/>
    </row>
    <row r="6" spans="1:8" ht="12.75">
      <c r="A6" s="19" t="s">
        <v>130</v>
      </c>
      <c r="B6" s="4"/>
      <c r="C6" s="4"/>
      <c r="D6" s="4"/>
      <c r="E6" s="4"/>
      <c r="F6" s="4"/>
      <c r="G6" s="67"/>
      <c r="H6" s="4"/>
    </row>
    <row r="7" spans="1:8" ht="12.75">
      <c r="A7" s="4" t="s">
        <v>143</v>
      </c>
      <c r="B7" s="262">
        <f aca="true" t="shared" si="0" ref="B7:B14">D7*E7</f>
        <v>0</v>
      </c>
      <c r="D7" s="8"/>
      <c r="E7" s="6"/>
      <c r="F7" s="4" t="s">
        <v>144</v>
      </c>
      <c r="G7" s="67"/>
      <c r="H7" s="4"/>
    </row>
    <row r="8" spans="1:8" ht="12.75">
      <c r="A8" s="4" t="s">
        <v>229</v>
      </c>
      <c r="B8" s="241">
        <f t="shared" si="0"/>
        <v>0</v>
      </c>
      <c r="D8" s="8"/>
      <c r="E8" s="6"/>
      <c r="F8" s="4" t="s">
        <v>140</v>
      </c>
      <c r="G8" s="67"/>
      <c r="H8" s="4"/>
    </row>
    <row r="9" spans="1:8" ht="12.75">
      <c r="A9" s="4" t="s">
        <v>145</v>
      </c>
      <c r="B9" s="237">
        <f t="shared" si="0"/>
        <v>0</v>
      </c>
      <c r="D9" s="8"/>
      <c r="E9" s="6"/>
      <c r="F9" s="4" t="s">
        <v>141</v>
      </c>
      <c r="G9" s="67"/>
      <c r="H9" s="4"/>
    </row>
    <row r="10" spans="1:8" ht="12.75">
      <c r="A10" s="4" t="s">
        <v>142</v>
      </c>
      <c r="B10" s="246">
        <f t="shared" si="0"/>
        <v>0</v>
      </c>
      <c r="D10" s="8"/>
      <c r="E10" s="6"/>
      <c r="F10" s="4" t="s">
        <v>133</v>
      </c>
      <c r="G10" s="67"/>
      <c r="H10" s="4"/>
    </row>
    <row r="11" spans="1:8" ht="12.75">
      <c r="A11" s="4" t="s">
        <v>138</v>
      </c>
      <c r="B11" s="266">
        <f>D11*E11</f>
        <v>0</v>
      </c>
      <c r="D11" s="8"/>
      <c r="E11" s="6"/>
      <c r="F11" s="4" t="s">
        <v>146</v>
      </c>
      <c r="G11" s="67"/>
      <c r="H11" s="4"/>
    </row>
    <row r="12" spans="1:8" ht="12.75">
      <c r="A12" s="4" t="s">
        <v>154</v>
      </c>
      <c r="B12" s="265">
        <f>D12*E12</f>
        <v>0</v>
      </c>
      <c r="D12" s="8"/>
      <c r="E12" s="6"/>
      <c r="F12" s="4" t="s">
        <v>146</v>
      </c>
      <c r="G12" s="67"/>
      <c r="H12" s="4"/>
    </row>
    <row r="13" spans="1:8" ht="12.75">
      <c r="A13" s="4" t="s">
        <v>180</v>
      </c>
      <c r="B13" s="264">
        <f>D13*E13</f>
        <v>0</v>
      </c>
      <c r="D13" s="8"/>
      <c r="E13" s="6"/>
      <c r="F13" s="4" t="s">
        <v>181</v>
      </c>
      <c r="G13" s="67"/>
      <c r="H13" s="4"/>
    </row>
    <row r="14" spans="1:8" ht="12.75">
      <c r="A14" s="75" t="s">
        <v>184</v>
      </c>
      <c r="B14" s="263">
        <f t="shared" si="0"/>
        <v>0</v>
      </c>
      <c r="D14" s="8"/>
      <c r="E14" s="6"/>
      <c r="F14" s="4" t="s">
        <v>181</v>
      </c>
      <c r="G14" s="67"/>
      <c r="H14" s="4"/>
    </row>
    <row r="15" spans="1:8" ht="12.75">
      <c r="A15" s="163" t="s">
        <v>85</v>
      </c>
      <c r="B15" s="151">
        <f>SUM(B7:B14)</f>
        <v>0</v>
      </c>
      <c r="C15" s="4"/>
      <c r="D15" s="4"/>
      <c r="E15" s="4"/>
      <c r="F15" s="4"/>
      <c r="G15" s="67"/>
      <c r="H15" s="4"/>
    </row>
    <row r="16" spans="1:8" ht="12.75">
      <c r="A16" s="19"/>
      <c r="B16" s="19"/>
      <c r="C16" s="4"/>
      <c r="D16" s="4"/>
      <c r="E16" s="4"/>
      <c r="F16" s="4"/>
      <c r="G16" s="67"/>
      <c r="H16" s="4"/>
    </row>
    <row r="17" spans="1:8" ht="15.75">
      <c r="A17" s="275" t="s">
        <v>253</v>
      </c>
      <c r="B17" s="272"/>
      <c r="C17" s="272"/>
      <c r="D17" s="272"/>
      <c r="E17" s="272"/>
      <c r="F17" s="272"/>
      <c r="G17" s="272"/>
      <c r="H17" s="42"/>
    </row>
    <row r="18" spans="1:8" ht="16.5" thickBot="1">
      <c r="A18" s="333" t="s">
        <v>228</v>
      </c>
      <c r="B18" s="333"/>
      <c r="C18" s="334">
        <v>304740</v>
      </c>
      <c r="D18" s="334"/>
      <c r="E18" s="335" t="str">
        <f>IF(C18=B15,"This is correct!","Try again")</f>
        <v>Try again</v>
      </c>
      <c r="F18" s="335"/>
      <c r="G18" s="271"/>
      <c r="H18" s="4"/>
    </row>
    <row r="19" spans="1:8" ht="12.75">
      <c r="A19" s="18"/>
      <c r="B19" s="69"/>
      <c r="C19" s="18"/>
      <c r="D19" s="69"/>
      <c r="E19" s="18"/>
      <c r="F19" s="18"/>
      <c r="G19" s="209"/>
      <c r="H19" s="4"/>
    </row>
    <row r="20" spans="1:8" ht="12.75">
      <c r="A20" s="18"/>
      <c r="B20" s="69"/>
      <c r="C20" s="18"/>
      <c r="D20" s="69"/>
      <c r="E20" s="18"/>
      <c r="F20" s="18"/>
      <c r="G20" s="209"/>
      <c r="H20" s="4"/>
    </row>
    <row r="21" spans="1:8" ht="12.75">
      <c r="A21" s="18"/>
      <c r="B21" s="69"/>
      <c r="C21" s="18"/>
      <c r="D21" s="69"/>
      <c r="E21" s="18"/>
      <c r="F21" s="18"/>
      <c r="G21" s="209"/>
      <c r="H21" s="4"/>
    </row>
    <row r="22" spans="1:8" ht="12.75">
      <c r="A22" s="18"/>
      <c r="B22" s="69"/>
      <c r="C22" s="18"/>
      <c r="D22" s="69"/>
      <c r="E22" s="18"/>
      <c r="F22" s="18"/>
      <c r="G22" s="209"/>
      <c r="H22" s="4"/>
    </row>
    <row r="23" spans="1:8" ht="12.75">
      <c r="A23" s="18"/>
      <c r="B23" s="69"/>
      <c r="C23" s="18"/>
      <c r="E23" s="18"/>
      <c r="F23" s="18"/>
      <c r="G23" s="209"/>
      <c r="H23" s="4"/>
    </row>
    <row r="24" spans="1:8" ht="12.75">
      <c r="A24" s="177"/>
      <c r="B24" s="69"/>
      <c r="C24" s="18"/>
      <c r="D24" s="18"/>
      <c r="E24" s="18"/>
      <c r="F24" s="18"/>
      <c r="G24" s="209"/>
      <c r="H24" s="4"/>
    </row>
    <row r="25" spans="1:8" ht="12.75">
      <c r="A25" s="18"/>
      <c r="B25" s="18"/>
      <c r="C25" s="18"/>
      <c r="D25" s="18"/>
      <c r="E25" s="18"/>
      <c r="F25" s="18"/>
      <c r="G25" s="18"/>
      <c r="H25" s="4"/>
    </row>
    <row r="26" spans="1:8" ht="12.75">
      <c r="A26" s="4"/>
      <c r="B26" s="4"/>
      <c r="C26" s="4"/>
      <c r="D26" s="4"/>
      <c r="E26" s="4"/>
      <c r="F26" s="4"/>
      <c r="G26" s="4"/>
      <c r="H26" s="4"/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 t="s">
        <v>222</v>
      </c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</sheetData>
  <mergeCells count="5">
    <mergeCell ref="D4:E4"/>
    <mergeCell ref="A1:C1"/>
    <mergeCell ref="A18:B18"/>
    <mergeCell ref="C18:D18"/>
    <mergeCell ref="E18:F18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J22" sqref="J22"/>
    </sheetView>
  </sheetViews>
  <sheetFormatPr defaultColWidth="9.140625" defaultRowHeight="12.75"/>
  <cols>
    <col min="1" max="1" width="2.7109375" style="0" customWidth="1"/>
    <col min="2" max="2" width="15.7109375" style="0" customWidth="1"/>
    <col min="4" max="4" width="8.7109375" style="0" customWidth="1"/>
    <col min="5" max="5" width="10.28125" style="0" bestFit="1" customWidth="1"/>
    <col min="6" max="6" width="2.7109375" style="0" customWidth="1"/>
    <col min="7" max="8" width="11.7109375" style="0" customWidth="1"/>
    <col min="10" max="10" width="7.7109375" style="0" customWidth="1"/>
  </cols>
  <sheetData>
    <row r="1" spans="1:12" ht="12.75">
      <c r="A1" s="338" t="s">
        <v>274</v>
      </c>
      <c r="B1" s="338"/>
      <c r="C1" s="338"/>
      <c r="D1" s="338"/>
      <c r="E1" s="66" t="s">
        <v>121</v>
      </c>
      <c r="F1" s="4"/>
      <c r="G1" s="348" t="s">
        <v>87</v>
      </c>
      <c r="H1" s="348"/>
      <c r="I1" s="4"/>
      <c r="J1" s="4"/>
      <c r="K1" s="12"/>
      <c r="L1" s="12"/>
    </row>
    <row r="2" spans="1:12" ht="12.75">
      <c r="A2" s="22" t="s">
        <v>84</v>
      </c>
      <c r="B2" s="4"/>
      <c r="C2" s="4"/>
      <c r="D2" s="4"/>
      <c r="E2" s="4"/>
      <c r="F2" s="4"/>
      <c r="G2" s="217" t="s">
        <v>103</v>
      </c>
      <c r="H2" s="217" t="s">
        <v>104</v>
      </c>
      <c r="I2" s="4"/>
      <c r="J2" s="4"/>
      <c r="K2" s="12"/>
      <c r="L2" s="12"/>
    </row>
    <row r="3" spans="1:12" ht="12.75">
      <c r="A3" s="4"/>
      <c r="B3" s="4" t="s">
        <v>189</v>
      </c>
      <c r="C3" s="4"/>
      <c r="D3" s="4"/>
      <c r="E3" s="214">
        <f>7InjuryCost!D3</f>
        <v>0</v>
      </c>
      <c r="F3" s="4"/>
      <c r="G3" s="152"/>
      <c r="H3" s="152"/>
      <c r="I3" s="351" t="str">
        <f>IF(AND(G3&lt;E3+0.5,G3&gt;E3-0.5),"This is Correct!","Try again.")</f>
        <v>This is Correct!</v>
      </c>
      <c r="J3" s="351"/>
      <c r="K3" s="12"/>
      <c r="L3" s="12"/>
    </row>
    <row r="4" spans="1:12" ht="12.75">
      <c r="A4" s="4"/>
      <c r="B4" s="4" t="s">
        <v>122</v>
      </c>
      <c r="C4" s="4"/>
      <c r="D4" s="4"/>
      <c r="E4" s="138">
        <f>7InjuryCost!D4</f>
        <v>0</v>
      </c>
      <c r="F4" s="4"/>
      <c r="G4" s="152"/>
      <c r="H4" s="152"/>
      <c r="I4" s="351" t="str">
        <f>IF(AND(H4&lt;E4+0.5,H4&gt;E4-0.5),"This is Correct!","Try again.")</f>
        <v>This is Correct!</v>
      </c>
      <c r="J4" s="351"/>
      <c r="K4" s="12"/>
      <c r="L4" s="12"/>
    </row>
    <row r="5" spans="1:12" ht="12.75">
      <c r="A5" s="4" t="s">
        <v>100</v>
      </c>
      <c r="B5" s="18"/>
      <c r="C5" s="4"/>
      <c r="D5" s="4"/>
      <c r="E5" s="71">
        <f>SUM(E3:E4)</f>
        <v>0</v>
      </c>
      <c r="F5" s="4"/>
      <c r="G5" s="83">
        <f>SUM(G3:G4)</f>
        <v>0</v>
      </c>
      <c r="H5" s="83">
        <f>SUM(H3:H4)</f>
        <v>0</v>
      </c>
      <c r="I5" s="4"/>
      <c r="J5" s="4"/>
      <c r="K5" s="12"/>
      <c r="L5" s="12"/>
    </row>
    <row r="6" spans="1:12" ht="12.75">
      <c r="A6" s="22" t="s">
        <v>86</v>
      </c>
      <c r="B6" s="22"/>
      <c r="C6" s="22"/>
      <c r="D6" s="22"/>
      <c r="F6" s="4"/>
      <c r="G6" s="82" t="s">
        <v>103</v>
      </c>
      <c r="H6" s="82" t="s">
        <v>104</v>
      </c>
      <c r="I6" s="4"/>
      <c r="J6" s="4"/>
      <c r="K6" s="12"/>
      <c r="L6" s="12"/>
    </row>
    <row r="7" spans="1:12" ht="12.75">
      <c r="A7" s="4" t="s">
        <v>69</v>
      </c>
      <c r="B7" s="4"/>
      <c r="C7" s="4"/>
      <c r="D7" s="4"/>
      <c r="E7" s="69">
        <f>7InjuryCost!D14</f>
        <v>0</v>
      </c>
      <c r="F7" s="4"/>
      <c r="G7" s="71"/>
      <c r="H7" s="71">
        <f>E7</f>
        <v>0</v>
      </c>
      <c r="I7" s="4"/>
      <c r="J7" s="4"/>
      <c r="K7" s="12"/>
      <c r="L7" s="12"/>
    </row>
    <row r="8" spans="1:12" ht="12.75">
      <c r="A8" s="4" t="s">
        <v>93</v>
      </c>
      <c r="B8" s="4"/>
      <c r="C8" s="4"/>
      <c r="D8" s="4"/>
      <c r="E8" s="18"/>
      <c r="F8" s="4"/>
      <c r="G8" s="71"/>
      <c r="H8" s="71"/>
      <c r="I8" s="4"/>
      <c r="J8" s="4"/>
      <c r="K8" s="12"/>
      <c r="L8" s="12"/>
    </row>
    <row r="9" spans="1:12" ht="12.75">
      <c r="A9" s="4"/>
      <c r="B9" s="69" t="str">
        <f>7InjuryCost!A16</f>
        <v>  Lost time for Dan, first year</v>
      </c>
      <c r="C9" s="4"/>
      <c r="D9" s="4"/>
      <c r="E9" s="69">
        <f>7InjuryCost!D16</f>
        <v>0</v>
      </c>
      <c r="F9" s="4"/>
      <c r="G9" s="71"/>
      <c r="H9" s="71">
        <f>E9</f>
        <v>0</v>
      </c>
      <c r="I9" s="4"/>
      <c r="J9" s="4"/>
      <c r="K9" s="12"/>
      <c r="L9" s="12"/>
    </row>
    <row r="10" spans="1:12" ht="12.75">
      <c r="A10" s="4"/>
      <c r="B10" s="145" t="str">
        <f>7InjuryCost!A19</f>
        <v>  Heather Unable to Work</v>
      </c>
      <c r="C10" s="146"/>
      <c r="D10" s="18"/>
      <c r="E10" s="69">
        <f>7InjuryCost!D19</f>
        <v>0</v>
      </c>
      <c r="F10" s="4"/>
      <c r="G10" s="71">
        <f>E10</f>
        <v>0</v>
      </c>
      <c r="H10" s="71"/>
      <c r="I10" s="4"/>
      <c r="J10" s="4"/>
      <c r="K10" s="12"/>
      <c r="L10" s="12"/>
    </row>
    <row r="11" spans="1:12" ht="12.75">
      <c r="A11" s="4"/>
      <c r="B11" s="145" t="str">
        <f>7InjuryCost!A20</f>
        <v>  Lost time for Dan, future years</v>
      </c>
      <c r="C11" s="146"/>
      <c r="D11" s="4"/>
      <c r="E11" s="69">
        <f>7InjuryCost!D20</f>
        <v>0</v>
      </c>
      <c r="F11" s="4"/>
      <c r="G11" s="71"/>
      <c r="H11" s="71">
        <f>E11</f>
        <v>0</v>
      </c>
      <c r="I11" s="4"/>
      <c r="J11" s="4"/>
      <c r="K11" s="12"/>
      <c r="L11" s="12"/>
    </row>
    <row r="12" spans="1:12" ht="12.75">
      <c r="A12" s="4"/>
      <c r="B12" s="145" t="str">
        <f>7InjuryCost!A21</f>
        <v>  Sold horse</v>
      </c>
      <c r="C12" s="146"/>
      <c r="D12" s="18"/>
      <c r="E12" s="69">
        <f>7InjuryCost!D21</f>
        <v>0</v>
      </c>
      <c r="F12" s="4"/>
      <c r="G12" s="71"/>
      <c r="H12" s="71">
        <f>E12</f>
        <v>0</v>
      </c>
      <c r="I12" s="4"/>
      <c r="J12" s="4"/>
      <c r="K12" s="12"/>
      <c r="L12" s="12"/>
    </row>
    <row r="13" spans="1:12" ht="12.75">
      <c r="A13" s="4"/>
      <c r="B13" s="4" t="s">
        <v>213</v>
      </c>
      <c r="C13" s="146"/>
      <c r="D13" s="18"/>
      <c r="E13" s="69">
        <f>7InjuryCost!D22</f>
        <v>0</v>
      </c>
      <c r="F13" s="4"/>
      <c r="G13" s="71"/>
      <c r="H13" s="71">
        <f>E13</f>
        <v>0</v>
      </c>
      <c r="I13" s="4"/>
      <c r="J13" s="4"/>
      <c r="K13" s="12"/>
      <c r="L13" s="12"/>
    </row>
    <row r="14" spans="1:12" ht="12.75">
      <c r="A14" s="4"/>
      <c r="B14" s="145" t="str">
        <f>7InjuryCost!A23</f>
        <v>  Insurance payment</v>
      </c>
      <c r="C14" s="146"/>
      <c r="D14" s="18"/>
      <c r="E14" s="72">
        <f>7InjuryCost!D23</f>
        <v>0</v>
      </c>
      <c r="F14" s="4"/>
      <c r="G14" s="72"/>
      <c r="H14" s="72">
        <f>E14</f>
        <v>0</v>
      </c>
      <c r="I14" s="4"/>
      <c r="J14" s="4"/>
      <c r="K14" s="12"/>
      <c r="L14" s="12"/>
    </row>
    <row r="15" spans="1:12" ht="12.75">
      <c r="A15" s="4" t="s">
        <v>76</v>
      </c>
      <c r="B15" s="4"/>
      <c r="C15" s="4"/>
      <c r="D15" s="4"/>
      <c r="E15" s="71">
        <f>SUM(E8:E14)</f>
        <v>0</v>
      </c>
      <c r="F15" s="4"/>
      <c r="G15" s="71">
        <f>SUM(G8:G14)</f>
        <v>0</v>
      </c>
      <c r="H15" s="71">
        <f>SUM(H7:H14)</f>
        <v>0</v>
      </c>
      <c r="I15" s="4"/>
      <c r="J15" s="4"/>
      <c r="K15" s="12"/>
      <c r="L15" s="12"/>
    </row>
    <row r="16" spans="1:12" ht="12.75">
      <c r="A16" s="4"/>
      <c r="B16" s="4"/>
      <c r="C16" s="4"/>
      <c r="D16" s="4"/>
      <c r="E16" s="71"/>
      <c r="F16" s="4"/>
      <c r="G16" s="4"/>
      <c r="H16" s="4"/>
      <c r="I16" s="4"/>
      <c r="J16" s="4"/>
      <c r="K16" s="12"/>
      <c r="L16" s="12"/>
    </row>
    <row r="17" spans="1:12" ht="16.5" thickBot="1">
      <c r="A17" s="349" t="s">
        <v>288</v>
      </c>
      <c r="B17" s="346"/>
      <c r="C17" s="346"/>
      <c r="D17" s="346"/>
      <c r="E17" s="346"/>
      <c r="F17" s="346"/>
      <c r="G17" s="346"/>
      <c r="H17" s="346"/>
      <c r="I17" s="282"/>
      <c r="J17" s="77" t="b">
        <f>EXACT(I17,"implicit")</f>
        <v>0</v>
      </c>
      <c r="K17" s="12"/>
      <c r="L17" s="12"/>
    </row>
    <row r="18" spans="1:12" ht="16.5" thickBot="1">
      <c r="A18" s="350" t="s">
        <v>289</v>
      </c>
      <c r="B18" s="350"/>
      <c r="C18" s="350"/>
      <c r="D18" s="350"/>
      <c r="E18" s="350"/>
      <c r="F18" s="350"/>
      <c r="G18" s="350"/>
      <c r="I18" s="283"/>
      <c r="J18" s="77" t="b">
        <f>EXACT(I18,"explicit")</f>
        <v>0</v>
      </c>
      <c r="K18" s="12"/>
      <c r="L18" s="12"/>
    </row>
    <row r="19" spans="1:12" ht="12.75">
      <c r="A19" s="4"/>
      <c r="B19" s="4"/>
      <c r="C19" s="67"/>
      <c r="D19" s="67" t="s">
        <v>103</v>
      </c>
      <c r="E19" s="67" t="s">
        <v>104</v>
      </c>
      <c r="F19" s="67"/>
      <c r="G19" s="4"/>
      <c r="H19" s="4"/>
      <c r="I19" s="4"/>
      <c r="J19" s="4"/>
      <c r="K19" s="12"/>
      <c r="L19" s="12"/>
    </row>
    <row r="20" spans="1:12" ht="12.75">
      <c r="A20" s="4"/>
      <c r="B20" s="4"/>
      <c r="C20" s="67" t="s">
        <v>101</v>
      </c>
      <c r="D20" s="60">
        <f>G5</f>
        <v>0</v>
      </c>
      <c r="E20" s="60">
        <f>H5</f>
        <v>0</v>
      </c>
      <c r="F20" s="67"/>
      <c r="G20" s="4"/>
      <c r="H20" s="4"/>
      <c r="I20" s="4"/>
      <c r="J20" s="4"/>
      <c r="K20" s="12"/>
      <c r="L20" s="12"/>
    </row>
    <row r="21" spans="1:12" ht="12.75">
      <c r="A21" s="4"/>
      <c r="B21" s="4"/>
      <c r="C21" s="67" t="s">
        <v>102</v>
      </c>
      <c r="D21" s="60">
        <f>G15</f>
        <v>0</v>
      </c>
      <c r="E21" s="60">
        <f>H15</f>
        <v>0</v>
      </c>
      <c r="F21" s="67"/>
      <c r="G21" s="4"/>
      <c r="H21" s="4"/>
      <c r="I21" s="4"/>
      <c r="J21" s="4"/>
      <c r="K21" s="12"/>
      <c r="L21" s="12"/>
    </row>
    <row r="22" spans="1:12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12"/>
      <c r="L22" s="12"/>
    </row>
    <row r="23" spans="1:12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12"/>
      <c r="L23" s="12"/>
    </row>
    <row r="24" spans="1:12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12"/>
      <c r="L24" s="12"/>
    </row>
    <row r="25" spans="1:12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12"/>
      <c r="L25" s="12"/>
    </row>
    <row r="26" spans="1:12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12"/>
      <c r="L26" s="12"/>
    </row>
    <row r="27" spans="1:12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12"/>
      <c r="L27" s="12"/>
    </row>
    <row r="28" spans="1:12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12"/>
      <c r="L28" s="12"/>
    </row>
    <row r="29" spans="1:12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12"/>
      <c r="L29" s="12"/>
    </row>
    <row r="30" spans="1:12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12"/>
      <c r="L30" s="12"/>
    </row>
    <row r="31" spans="1:12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12"/>
      <c r="L31" s="12"/>
    </row>
    <row r="32" spans="1:12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12"/>
      <c r="L32" s="12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12"/>
      <c r="L33" s="12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12"/>
      <c r="L34" s="12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12"/>
      <c r="L35" s="12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12"/>
      <c r="L36" s="12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12"/>
      <c r="L37" s="12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12"/>
      <c r="L38" s="12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12"/>
      <c r="L39" s="12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12"/>
      <c r="L40" s="12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12"/>
      <c r="L41" s="12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12"/>
      <c r="L42" s="12"/>
    </row>
    <row r="43" spans="2:12" ht="12.75">
      <c r="B43" s="4"/>
      <c r="C43" s="4"/>
      <c r="D43" s="4"/>
      <c r="E43" s="4"/>
      <c r="F43" s="4"/>
      <c r="G43" s="4"/>
      <c r="H43" s="4"/>
      <c r="I43" s="4"/>
      <c r="J43" s="4"/>
      <c r="K43" s="12"/>
      <c r="L43" s="12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12"/>
      <c r="L44" s="12"/>
    </row>
    <row r="45" spans="2:10" ht="12.75">
      <c r="B45" s="4"/>
      <c r="C45" s="4"/>
      <c r="D45" s="4"/>
      <c r="E45" s="4"/>
      <c r="F45" s="4"/>
      <c r="G45" s="4"/>
      <c r="H45" s="4"/>
      <c r="I45" s="4"/>
      <c r="J45" s="4"/>
    </row>
    <row r="46" spans="1:10" ht="12.7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2.7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2.7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4" t="s">
        <v>169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4"/>
      <c r="B50" s="4"/>
      <c r="C50" s="4"/>
      <c r="D50" s="4"/>
      <c r="E50" s="4"/>
      <c r="F50" s="4"/>
      <c r="G50" s="4"/>
      <c r="H50" s="4"/>
      <c r="I50" s="4"/>
      <c r="J50" s="4"/>
    </row>
  </sheetData>
  <mergeCells count="6">
    <mergeCell ref="I3:J3"/>
    <mergeCell ref="I4:J4"/>
    <mergeCell ref="G1:H1"/>
    <mergeCell ref="A1:D1"/>
    <mergeCell ref="A17:H17"/>
    <mergeCell ref="A18:G18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B8" sqref="B8"/>
    </sheetView>
  </sheetViews>
  <sheetFormatPr defaultColWidth="9.140625" defaultRowHeight="12.75"/>
  <cols>
    <col min="1" max="1" width="41.7109375" style="0" customWidth="1"/>
    <col min="2" max="2" width="10.28125" style="0" bestFit="1" customWidth="1"/>
  </cols>
  <sheetData>
    <row r="1" spans="1:6" ht="15">
      <c r="A1" s="332" t="s">
        <v>215</v>
      </c>
      <c r="B1" s="332"/>
      <c r="C1" s="332"/>
      <c r="D1" s="332"/>
      <c r="E1" s="4"/>
      <c r="F1" s="4"/>
    </row>
    <row r="2" spans="1:6" ht="14.25">
      <c r="A2" s="139" t="s">
        <v>190</v>
      </c>
      <c r="B2" s="212">
        <v>5.71</v>
      </c>
      <c r="C2" s="162" t="s">
        <v>205</v>
      </c>
      <c r="D2" s="211"/>
      <c r="E2" s="4"/>
      <c r="F2" s="4"/>
    </row>
    <row r="3" spans="1:6" ht="14.25">
      <c r="A3" s="139"/>
      <c r="B3" s="191">
        <f>B2/2000</f>
        <v>0.002855</v>
      </c>
      <c r="C3" s="162" t="s">
        <v>191</v>
      </c>
      <c r="D3" s="4"/>
      <c r="E3" s="4"/>
      <c r="F3" s="4"/>
    </row>
    <row r="4" spans="1:6" ht="12.75">
      <c r="A4" s="18"/>
      <c r="B4" s="144"/>
      <c r="C4" s="144"/>
      <c r="D4" s="4"/>
      <c r="E4" s="4"/>
      <c r="F4" s="4"/>
    </row>
    <row r="5" spans="1:6" ht="12.75">
      <c r="A5" s="4"/>
      <c r="B5" s="144"/>
      <c r="C5" s="14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7" spans="1:6" ht="12.75">
      <c r="A7" s="4"/>
      <c r="B7" s="4"/>
      <c r="C7" s="4"/>
      <c r="D7" s="4"/>
      <c r="E7" s="4"/>
      <c r="F7" s="4"/>
    </row>
    <row r="8" spans="1:6" ht="12.75">
      <c r="A8" s="4"/>
      <c r="B8" s="4"/>
      <c r="C8" s="4"/>
      <c r="D8" s="4"/>
      <c r="E8" s="4"/>
      <c r="F8" s="4"/>
    </row>
    <row r="9" spans="1:6" ht="12.75">
      <c r="A9" s="4"/>
      <c r="B9" s="4"/>
      <c r="C9" s="64"/>
      <c r="D9" s="4"/>
      <c r="E9" s="4"/>
      <c r="F9" s="4"/>
    </row>
    <row r="10" spans="1:6" ht="12.75">
      <c r="A10" s="4"/>
      <c r="B10" s="4"/>
      <c r="C10" s="64"/>
      <c r="D10" s="4"/>
      <c r="E10" s="4"/>
      <c r="F10" s="4"/>
    </row>
    <row r="11" spans="1:6" ht="12.75">
      <c r="A11" s="4"/>
      <c r="B11" s="64"/>
      <c r="C11" s="4"/>
      <c r="D11" s="4"/>
      <c r="E11" s="4"/>
      <c r="F11" s="4"/>
    </row>
    <row r="12" spans="1:6" ht="12.75">
      <c r="A12" s="4"/>
      <c r="B12" s="171"/>
      <c r="C12" s="4"/>
      <c r="D12" s="4"/>
      <c r="E12" s="4"/>
      <c r="F12" s="4"/>
    </row>
    <row r="13" spans="1:6" ht="12.75">
      <c r="A13" s="4"/>
      <c r="B13" s="4"/>
      <c r="C13" s="4"/>
      <c r="D13" s="4"/>
      <c r="E13" s="4"/>
      <c r="F13" s="4"/>
    </row>
    <row r="14" spans="1:6" ht="12.75">
      <c r="A14" s="4"/>
      <c r="B14" s="4"/>
      <c r="C14" s="4"/>
      <c r="D14" s="4"/>
      <c r="E14" s="4"/>
      <c r="F14" s="4"/>
    </row>
    <row r="15" spans="1:6" ht="12.75">
      <c r="A15" s="4"/>
      <c r="B15" s="4"/>
      <c r="C15" s="4"/>
      <c r="D15" s="4"/>
      <c r="E15" s="4"/>
      <c r="F15" s="4"/>
    </row>
    <row r="16" spans="1:6" ht="12.75">
      <c r="A16" s="4"/>
      <c r="B16" s="4"/>
      <c r="C16" s="4"/>
      <c r="D16" s="4"/>
      <c r="E16" s="4"/>
      <c r="F16" s="4"/>
    </row>
    <row r="17" spans="1:6" ht="12.75">
      <c r="A17" s="4"/>
      <c r="B17" s="4"/>
      <c r="C17" s="4"/>
      <c r="D17" s="4"/>
      <c r="E17" s="4"/>
      <c r="F17" s="4"/>
    </row>
    <row r="18" spans="1:6" ht="12.75">
      <c r="A18" s="4"/>
      <c r="B18" s="4"/>
      <c r="C18" s="4"/>
      <c r="D18" s="4"/>
      <c r="E18" s="4"/>
      <c r="F18" s="4"/>
    </row>
    <row r="19" spans="1:6" ht="12.75">
      <c r="A19" s="4"/>
      <c r="B19" s="4"/>
      <c r="C19" s="4"/>
      <c r="D19" s="4"/>
      <c r="E19" s="4"/>
      <c r="F19" s="4"/>
    </row>
    <row r="20" spans="1:6" ht="12.75">
      <c r="A20" s="4"/>
      <c r="B20" s="4"/>
      <c r="C20" s="4"/>
      <c r="D20" s="4"/>
      <c r="E20" s="4"/>
      <c r="F20" s="4"/>
    </row>
    <row r="21" spans="1:6" ht="12.75">
      <c r="A21" s="4"/>
      <c r="B21" s="4"/>
      <c r="C21" s="4"/>
      <c r="D21" s="4"/>
      <c r="E21" s="4"/>
      <c r="F21" s="4"/>
    </row>
    <row r="22" spans="1:6" ht="12.75">
      <c r="A22" s="4"/>
      <c r="B22" s="4"/>
      <c r="C22" s="4"/>
      <c r="D22" s="4"/>
      <c r="E22" s="4"/>
      <c r="F22" s="4"/>
    </row>
    <row r="23" spans="1:6" ht="12.75">
      <c r="A23" s="4"/>
      <c r="B23" s="4"/>
      <c r="C23" s="4"/>
      <c r="D23" s="4"/>
      <c r="E23" s="4"/>
      <c r="F23" s="4"/>
    </row>
    <row r="24" spans="1:6" ht="12.75">
      <c r="A24" s="4"/>
      <c r="B24" s="4"/>
      <c r="C24" s="4"/>
      <c r="D24" s="4"/>
      <c r="E24" s="4"/>
      <c r="F24" s="4"/>
    </row>
    <row r="25" spans="1:6" ht="12.75">
      <c r="A25" s="4"/>
      <c r="B25" s="4"/>
      <c r="C25" s="4"/>
      <c r="D25" s="4"/>
      <c r="E25" s="4"/>
      <c r="F25" s="4"/>
    </row>
    <row r="26" spans="1:6" ht="12.75">
      <c r="A26" s="4"/>
      <c r="B26" s="4"/>
      <c r="C26" s="4"/>
      <c r="D26" s="4"/>
      <c r="E26" s="4"/>
      <c r="F26" s="4"/>
    </row>
    <row r="27" spans="1:6" ht="12.75">
      <c r="A27" s="4"/>
      <c r="B27" s="4"/>
      <c r="C27" s="4"/>
      <c r="D27" s="4"/>
      <c r="E27" s="4"/>
      <c r="F27" s="4"/>
    </row>
    <row r="28" spans="1:6" ht="12.75">
      <c r="A28" s="4"/>
      <c r="B28" s="4"/>
      <c r="C28" s="4"/>
      <c r="D28" s="4"/>
      <c r="E28" s="4"/>
      <c r="F28" s="4"/>
    </row>
    <row r="29" spans="1:6" ht="12.75">
      <c r="A29" s="4"/>
      <c r="B29" s="4"/>
      <c r="C29" s="4"/>
      <c r="D29" s="4"/>
      <c r="E29" s="4"/>
      <c r="F29" s="4"/>
    </row>
    <row r="30" spans="1:6" ht="12.75">
      <c r="A30" s="4"/>
      <c r="B30" s="4"/>
      <c r="C30" s="4"/>
      <c r="D30" s="4"/>
      <c r="E30" s="4"/>
      <c r="F30" s="4"/>
    </row>
    <row r="31" spans="1:6" ht="12.75">
      <c r="A31" s="4"/>
      <c r="B31" s="4"/>
      <c r="C31" s="4"/>
      <c r="D31" s="4"/>
      <c r="E31" s="4"/>
      <c r="F31" s="4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12.75">
      <c r="A35" s="4"/>
      <c r="B35" s="4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4"/>
      <c r="B42" s="4"/>
      <c r="C42" s="4"/>
      <c r="D42" s="4"/>
      <c r="E42" s="4"/>
      <c r="F42" s="4"/>
    </row>
    <row r="43" spans="1:6" ht="12.75">
      <c r="A43" s="4"/>
      <c r="B43" s="4"/>
      <c r="C43" s="4"/>
      <c r="D43" s="4"/>
      <c r="E43" s="4"/>
      <c r="F43" s="4"/>
    </row>
    <row r="44" spans="1:6" ht="12.75">
      <c r="A44" s="4"/>
      <c r="B44" s="4"/>
      <c r="C44" s="4"/>
      <c r="D44" s="4"/>
      <c r="E44" s="4"/>
      <c r="F44" s="4"/>
    </row>
    <row r="45" spans="1:6" ht="12.75">
      <c r="A45" s="4"/>
      <c r="B45" s="4"/>
      <c r="C45" s="4"/>
      <c r="D45" s="4"/>
      <c r="E45" s="4"/>
      <c r="F45" s="4"/>
    </row>
    <row r="46" spans="1:6" ht="12.75">
      <c r="A46" s="4"/>
      <c r="B46" s="4"/>
      <c r="C46" s="4"/>
      <c r="D46" s="4"/>
      <c r="E46" s="4"/>
      <c r="F46" s="4"/>
    </row>
    <row r="47" spans="1:6" ht="12.75">
      <c r="A47" s="4"/>
      <c r="B47" s="4"/>
      <c r="C47" s="4"/>
      <c r="D47" s="4"/>
      <c r="E47" s="4"/>
      <c r="F47" s="4"/>
    </row>
    <row r="48" spans="1:6" ht="12.75">
      <c r="A48" s="4"/>
      <c r="B48" s="4"/>
      <c r="C48" s="4"/>
      <c r="D48" s="4"/>
      <c r="E48" s="4"/>
      <c r="F48" s="4"/>
    </row>
    <row r="49" spans="1:6" ht="12.75">
      <c r="A49" s="4"/>
      <c r="B49" s="4"/>
      <c r="C49" s="4"/>
      <c r="D49" s="4"/>
      <c r="E49" s="4"/>
      <c r="F49" s="4"/>
    </row>
    <row r="50" spans="1:6" ht="12.75">
      <c r="A50" t="s">
        <v>169</v>
      </c>
      <c r="B50" s="4"/>
      <c r="C50" s="4"/>
      <c r="D50" s="4"/>
      <c r="E50" s="4"/>
      <c r="F50" s="4"/>
    </row>
  </sheetData>
  <mergeCells count="1">
    <mergeCell ref="A1:D1"/>
  </mergeCells>
  <printOptions/>
  <pageMargins left="0.75" right="0.75" top="1" bottom="1" header="0.5" footer="0.5"/>
  <pageSetup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77"/>
  <sheetViews>
    <sheetView workbookViewId="0" topLeftCell="D1">
      <selection activeCell="A1" sqref="A1:D1"/>
    </sheetView>
  </sheetViews>
  <sheetFormatPr defaultColWidth="9.140625" defaultRowHeight="12.75"/>
  <cols>
    <col min="1" max="1" width="42.7109375" style="0" customWidth="1"/>
    <col min="2" max="2" width="12.7109375" style="0" customWidth="1"/>
    <col min="3" max="3" width="9.7109375" style="0" customWidth="1"/>
    <col min="4" max="4" width="4.7109375" style="0" customWidth="1"/>
    <col min="8" max="8" width="10.00390625" style="0" bestFit="1" customWidth="1"/>
  </cols>
  <sheetData>
    <row r="1" spans="1:18" ht="15">
      <c r="A1" s="332" t="s">
        <v>216</v>
      </c>
      <c r="B1" s="332"/>
      <c r="C1" s="332"/>
      <c r="D1" s="332"/>
      <c r="E1" s="4"/>
      <c r="F1" s="4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4.25">
      <c r="A2" s="139" t="s">
        <v>190</v>
      </c>
      <c r="B2" s="226">
        <f>B3*B4</f>
        <v>0.059954999999999994</v>
      </c>
      <c r="C2" s="162" t="s">
        <v>225</v>
      </c>
      <c r="D2" s="192">
        <f>B4</f>
        <v>21</v>
      </c>
      <c r="E2" s="4" t="s">
        <v>147</v>
      </c>
      <c r="F2" s="4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4.25">
      <c r="A3" s="139"/>
      <c r="B3" s="191">
        <f>'11FallLikelihood'!B3</f>
        <v>0.002855</v>
      </c>
      <c r="C3" s="162" t="s">
        <v>191</v>
      </c>
      <c r="D3" s="4"/>
      <c r="E3" s="4"/>
      <c r="F3" s="4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5">
      <c r="A4" s="143" t="s">
        <v>163</v>
      </c>
      <c r="B4" s="157">
        <v>21</v>
      </c>
      <c r="C4" s="158"/>
      <c r="D4" s="4"/>
      <c r="E4" s="4"/>
      <c r="F4" s="4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2.75">
      <c r="A5" s="18"/>
      <c r="B5" s="144"/>
      <c r="C5" s="144"/>
      <c r="D5" s="4"/>
      <c r="E5" s="4"/>
      <c r="F5" s="4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2.75">
      <c r="A6" s="4"/>
      <c r="B6" s="144"/>
      <c r="C6" s="144"/>
      <c r="D6" s="4"/>
      <c r="E6" s="4"/>
      <c r="F6" s="4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182"/>
      <c r="B7" s="213"/>
      <c r="C7" s="4"/>
      <c r="D7" s="4"/>
      <c r="E7" s="4"/>
      <c r="F7" s="4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2.75">
      <c r="A8" s="218"/>
      <c r="B8" s="219"/>
      <c r="C8" s="172"/>
      <c r="D8" s="172"/>
      <c r="E8" s="4"/>
      <c r="F8" s="4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12.75">
      <c r="A9" s="220"/>
      <c r="B9" s="172" t="s">
        <v>207</v>
      </c>
      <c r="C9" s="221"/>
      <c r="D9" s="172"/>
      <c r="E9" s="4"/>
      <c r="F9" s="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12.75">
      <c r="A10" s="218" t="s">
        <v>209</v>
      </c>
      <c r="B10" s="222">
        <v>2000</v>
      </c>
      <c r="C10" s="221"/>
      <c r="D10" s="172"/>
      <c r="E10" s="4"/>
      <c r="F10" s="4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12.75">
      <c r="A11" s="218" t="s">
        <v>208</v>
      </c>
      <c r="B11" s="172">
        <f>B4</f>
        <v>21</v>
      </c>
      <c r="C11" s="221"/>
      <c r="D11" s="172"/>
      <c r="E11" s="4"/>
      <c r="F11" s="4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2.75">
      <c r="A12" s="172"/>
      <c r="B12" s="221"/>
      <c r="C12" s="172"/>
      <c r="D12" s="172"/>
      <c r="E12" s="4"/>
      <c r="F12" s="4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12.75">
      <c r="A13" s="172"/>
      <c r="B13" s="223"/>
      <c r="C13" s="172"/>
      <c r="D13" s="172"/>
      <c r="E13" s="4"/>
      <c r="F13" s="4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2.75">
      <c r="A14" s="4"/>
      <c r="B14" s="4"/>
      <c r="C14" s="4"/>
      <c r="D14" s="4"/>
      <c r="E14" s="4"/>
      <c r="F14" s="4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2.75">
      <c r="A15" s="4"/>
      <c r="B15" s="4"/>
      <c r="C15" s="4"/>
      <c r="D15" s="4"/>
      <c r="E15" s="4"/>
      <c r="F15" s="4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2.75">
      <c r="A16" s="4"/>
      <c r="B16" s="4"/>
      <c r="C16" s="4"/>
      <c r="D16" s="4"/>
      <c r="E16" s="4"/>
      <c r="F16" s="4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2.75">
      <c r="A17" s="4"/>
      <c r="B17" s="4"/>
      <c r="C17" s="4"/>
      <c r="D17" s="4"/>
      <c r="E17" s="4"/>
      <c r="F17" s="4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2.75">
      <c r="A18" s="4"/>
      <c r="B18" s="4"/>
      <c r="C18" s="4"/>
      <c r="D18" s="4"/>
      <c r="E18" s="4"/>
      <c r="F18" s="4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2.75">
      <c r="A19" s="4"/>
      <c r="B19" s="4"/>
      <c r="C19" s="4"/>
      <c r="D19" s="4"/>
      <c r="E19" s="4"/>
      <c r="F19" s="4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2.75">
      <c r="A20" s="4"/>
      <c r="B20" s="4"/>
      <c r="C20" s="4"/>
      <c r="D20" s="4"/>
      <c r="E20" s="4"/>
      <c r="F20" s="4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2.75">
      <c r="A21" s="4"/>
      <c r="B21" s="4"/>
      <c r="C21" s="4"/>
      <c r="D21" s="4"/>
      <c r="E21" s="4"/>
      <c r="F21" s="4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2.75">
      <c r="A22" s="4"/>
      <c r="B22" s="4"/>
      <c r="C22" s="4"/>
      <c r="D22" s="4"/>
      <c r="E22" s="4"/>
      <c r="F22" s="4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2.75">
      <c r="A23" s="4"/>
      <c r="B23" s="4"/>
      <c r="C23" s="4"/>
      <c r="D23" s="4"/>
      <c r="E23" s="4"/>
      <c r="F23" s="4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2.75">
      <c r="A24" s="4"/>
      <c r="B24" s="4"/>
      <c r="C24" s="4"/>
      <c r="D24" s="4"/>
      <c r="E24" s="4"/>
      <c r="F24" s="4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2.75">
      <c r="A25" s="4"/>
      <c r="B25" s="4"/>
      <c r="C25" s="4"/>
      <c r="D25" s="4"/>
      <c r="E25" s="4"/>
      <c r="F25" s="4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2.75">
      <c r="A26" s="4"/>
      <c r="B26" s="4"/>
      <c r="C26" s="4"/>
      <c r="D26" s="4"/>
      <c r="E26" s="4"/>
      <c r="F26" s="4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2.75">
      <c r="A27" s="4"/>
      <c r="B27" s="4"/>
      <c r="C27" s="4"/>
      <c r="D27" s="4"/>
      <c r="E27" s="4"/>
      <c r="F27" s="4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12.75">
      <c r="A28" s="4"/>
      <c r="B28" s="4"/>
      <c r="C28" s="4"/>
      <c r="D28" s="4"/>
      <c r="E28" s="4"/>
      <c r="F28" s="4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2.75">
      <c r="A29" s="4"/>
      <c r="B29" s="4"/>
      <c r="C29" s="4"/>
      <c r="D29" s="4"/>
      <c r="E29" s="4"/>
      <c r="F29" s="4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12.75">
      <c r="A30" s="4"/>
      <c r="B30" s="4"/>
      <c r="C30" s="4"/>
      <c r="D30" s="4"/>
      <c r="E30" s="4"/>
      <c r="F30" s="4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2.75">
      <c r="A31" s="4"/>
      <c r="B31" s="4"/>
      <c r="C31" s="4"/>
      <c r="D31" s="4"/>
      <c r="E31" s="4"/>
      <c r="F31" s="4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2.75">
      <c r="A32" s="4"/>
      <c r="B32" s="4"/>
      <c r="C32" s="4"/>
      <c r="D32" s="4"/>
      <c r="E32" s="4"/>
      <c r="F32" s="4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2.75">
      <c r="A33" s="4"/>
      <c r="B33" s="4"/>
      <c r="C33" s="4"/>
      <c r="D33" s="4"/>
      <c r="E33" s="4"/>
      <c r="F33" s="4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12.75">
      <c r="A34" s="4"/>
      <c r="B34" s="4"/>
      <c r="C34" s="4"/>
      <c r="D34" s="4"/>
      <c r="E34" s="4"/>
      <c r="F34" s="4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2.75">
      <c r="A35" s="4"/>
      <c r="B35" s="4"/>
      <c r="C35" s="4"/>
      <c r="D35" s="4"/>
      <c r="E35" s="4"/>
      <c r="F35" s="4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12.75">
      <c r="A36" s="4"/>
      <c r="B36" s="4"/>
      <c r="C36" s="4"/>
      <c r="D36" s="4"/>
      <c r="E36" s="4"/>
      <c r="F36" s="4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2.75">
      <c r="A37" s="4"/>
      <c r="B37" s="4"/>
      <c r="C37" s="4"/>
      <c r="D37" s="4"/>
      <c r="E37" s="4"/>
      <c r="F37" s="4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12.75">
      <c r="A38" s="4"/>
      <c r="B38" s="4"/>
      <c r="C38" s="4"/>
      <c r="D38" s="4"/>
      <c r="E38" s="4"/>
      <c r="F38" s="4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12.75">
      <c r="A39" s="4"/>
      <c r="B39" s="4"/>
      <c r="C39" s="4"/>
      <c r="D39" s="4"/>
      <c r="E39" s="4"/>
      <c r="F39" s="4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12.75">
      <c r="A40" s="4"/>
      <c r="B40" s="4"/>
      <c r="C40" s="4"/>
      <c r="D40" s="4"/>
      <c r="E40" s="4"/>
      <c r="F40" s="4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12.75">
      <c r="A41" s="4"/>
      <c r="B41" s="4"/>
      <c r="C41" s="4"/>
      <c r="D41" s="4"/>
      <c r="E41" s="4"/>
      <c r="F41" s="4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12.75">
      <c r="A42" s="4"/>
      <c r="B42" s="4"/>
      <c r="C42" s="4"/>
      <c r="D42" s="4"/>
      <c r="E42" s="4"/>
      <c r="F42" s="4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ht="12.75">
      <c r="A43" s="4"/>
      <c r="B43" s="4"/>
      <c r="C43" s="4"/>
      <c r="D43" s="4"/>
      <c r="E43" s="4"/>
      <c r="F43" s="4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12.75">
      <c r="A44" s="4"/>
      <c r="B44" s="4"/>
      <c r="C44" s="4"/>
      <c r="D44" s="4"/>
      <c r="E44" s="4"/>
      <c r="F44" s="4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ht="12.75">
      <c r="A45" s="4"/>
      <c r="B45" s="4"/>
      <c r="C45" s="4"/>
      <c r="D45" s="4"/>
      <c r="E45" s="4"/>
      <c r="F45" s="4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ht="12.75">
      <c r="A46" s="4"/>
      <c r="B46" s="4"/>
      <c r="C46" s="4"/>
      <c r="D46" s="4"/>
      <c r="E46" s="4"/>
      <c r="F46" s="4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ht="12.75">
      <c r="A47" s="4"/>
      <c r="B47" s="4"/>
      <c r="C47" s="4"/>
      <c r="D47" s="4"/>
      <c r="E47" s="4"/>
      <c r="F47" s="4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ht="12.75">
      <c r="A48" s="4"/>
      <c r="B48" s="4"/>
      <c r="C48" s="4"/>
      <c r="D48" s="4"/>
      <c r="E48" s="4"/>
      <c r="F48" s="4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ht="12.75">
      <c r="A49" s="4"/>
      <c r="B49" s="4"/>
      <c r="C49" s="4"/>
      <c r="D49" s="4"/>
      <c r="E49" s="4"/>
      <c r="F49" s="4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ht="12.75">
      <c r="A50" s="4"/>
      <c r="B50" s="4"/>
      <c r="C50" s="4"/>
      <c r="D50" s="4"/>
      <c r="E50" s="4"/>
      <c r="F50" s="4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ht="12.75">
      <c r="A51" t="s">
        <v>169</v>
      </c>
      <c r="B51" s="4"/>
      <c r="C51" s="4"/>
      <c r="D51" s="4"/>
      <c r="E51" s="4"/>
      <c r="F51" s="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7:18" ht="12.75"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7:18" ht="12.75"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7:18" ht="12.75"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7:18" ht="12.75"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7:18" ht="12.75"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7:18" ht="12.75"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7:18" ht="12.75"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7:18" ht="12.75"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7:18" ht="12.75"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7:18" ht="12.75"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7:18" ht="12.75"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7:18" ht="12.75"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7:18" ht="12.75"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7:18" ht="12.75"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7:18" ht="12.75"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7:18" ht="12.75"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7:18" ht="12.75"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7:18" ht="12.75"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7:18" ht="12.75"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</row>
    <row r="71" spans="7:18" ht="12.75"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</row>
    <row r="72" spans="7:18" ht="12.75"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</row>
    <row r="73" spans="7:18" ht="12.75"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7:18" ht="12.75"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</row>
    <row r="75" spans="7:18" ht="12.75"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</row>
    <row r="76" spans="7:18" ht="12.75"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</row>
    <row r="77" spans="7:18" ht="12.75"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B27" sqref="B27"/>
    </sheetView>
  </sheetViews>
  <sheetFormatPr defaultColWidth="9.140625" defaultRowHeight="12.75"/>
  <cols>
    <col min="1" max="1" width="51.7109375" style="0" customWidth="1"/>
    <col min="5" max="5" width="11.28125" style="0" bestFit="1" customWidth="1"/>
  </cols>
  <sheetData>
    <row r="1" spans="1:5" ht="15">
      <c r="A1" s="332" t="s">
        <v>217</v>
      </c>
      <c r="B1" s="332"/>
      <c r="C1" s="332"/>
      <c r="D1" s="58"/>
      <c r="E1" s="59"/>
    </row>
    <row r="2" spans="1:5" ht="14.25">
      <c r="A2" s="139" t="s">
        <v>162</v>
      </c>
      <c r="B2" s="154">
        <f>ExposureHours12!B2</f>
        <v>0.059954999999999994</v>
      </c>
      <c r="C2" s="139"/>
      <c r="D2" s="4"/>
      <c r="E2" s="4"/>
    </row>
    <row r="3" spans="1:5" ht="14.25">
      <c r="A3" s="139" t="s">
        <v>163</v>
      </c>
      <c r="B3" s="155">
        <f>ExposureHours12!B4</f>
        <v>21</v>
      </c>
      <c r="C3" s="156"/>
      <c r="D3" s="4"/>
      <c r="E3" s="4"/>
    </row>
    <row r="4" spans="1:5" ht="14.25">
      <c r="A4" s="139"/>
      <c r="B4" s="139"/>
      <c r="C4" s="139"/>
      <c r="D4" s="4"/>
      <c r="E4" s="4"/>
    </row>
    <row r="5" spans="1:5" ht="15">
      <c r="A5" s="143" t="s">
        <v>123</v>
      </c>
      <c r="B5" s="140">
        <v>0.88</v>
      </c>
      <c r="C5" s="139"/>
      <c r="D5" s="4"/>
      <c r="E5" s="4"/>
    </row>
    <row r="6" spans="1:5" ht="14.25">
      <c r="A6" s="139"/>
      <c r="B6" s="139"/>
      <c r="C6" s="139"/>
      <c r="D6" s="4"/>
      <c r="E6" s="4"/>
    </row>
    <row r="7" spans="1:5" ht="14.25">
      <c r="A7" s="139"/>
      <c r="B7" s="139"/>
      <c r="C7" s="139"/>
      <c r="D7" s="4"/>
      <c r="E7" s="4"/>
    </row>
    <row r="8" spans="1:5" ht="12.75">
      <c r="A8" s="4"/>
      <c r="B8" s="4"/>
      <c r="C8" s="4"/>
      <c r="D8" s="4"/>
      <c r="E8" s="4"/>
    </row>
    <row r="9" spans="1:5" ht="12.75">
      <c r="A9" s="4"/>
      <c r="B9" s="4" t="s">
        <v>165</v>
      </c>
      <c r="C9" s="159">
        <f>1-C10</f>
        <v>0.12</v>
      </c>
      <c r="D9" s="4"/>
      <c r="E9" s="4"/>
    </row>
    <row r="10" spans="1:5" ht="12.75">
      <c r="A10" s="4"/>
      <c r="B10" s="4" t="s">
        <v>166</v>
      </c>
      <c r="C10" s="159">
        <f>B5</f>
        <v>0.88</v>
      </c>
      <c r="D10" s="4"/>
      <c r="E10" s="4"/>
    </row>
    <row r="11" spans="1:5" ht="12.75">
      <c r="A11" s="4"/>
      <c r="B11" s="4"/>
      <c r="C11" s="4"/>
      <c r="D11" s="4"/>
      <c r="E11" s="4"/>
    </row>
    <row r="12" spans="1:5" ht="12.75">
      <c r="A12" s="4"/>
      <c r="B12" s="4"/>
      <c r="C12" s="4"/>
      <c r="D12" s="4"/>
      <c r="E12" s="4"/>
    </row>
    <row r="13" spans="1:5" ht="12.75">
      <c r="A13" s="4"/>
      <c r="B13" s="4"/>
      <c r="C13" s="4"/>
      <c r="D13" s="4"/>
      <c r="E13" s="4"/>
    </row>
    <row r="14" spans="1:5" ht="12.75">
      <c r="A14" s="4"/>
      <c r="B14" s="4"/>
      <c r="C14" s="4"/>
      <c r="D14" s="4"/>
      <c r="E14" s="4"/>
    </row>
    <row r="15" spans="1:5" ht="12.75">
      <c r="A15" s="4"/>
      <c r="B15" s="4"/>
      <c r="C15" s="4"/>
      <c r="D15" s="4"/>
      <c r="E15" s="4"/>
    </row>
    <row r="16" spans="1:5" ht="12.75">
      <c r="A16" s="4"/>
      <c r="B16" s="4"/>
      <c r="C16" s="4"/>
      <c r="D16" s="4"/>
      <c r="E16" s="4"/>
    </row>
    <row r="17" spans="1:5" ht="12.75">
      <c r="A17" s="4"/>
      <c r="B17" s="4"/>
      <c r="C17" s="4"/>
      <c r="D17" s="4"/>
      <c r="E17" s="4"/>
    </row>
    <row r="18" spans="1:5" ht="12.75">
      <c r="A18" s="4"/>
      <c r="B18" s="4"/>
      <c r="C18" s="4"/>
      <c r="D18" s="4"/>
      <c r="E18" s="4"/>
    </row>
    <row r="19" spans="1:5" ht="12.75">
      <c r="A19" s="4"/>
      <c r="B19" s="4"/>
      <c r="C19" s="4"/>
      <c r="D19" s="4"/>
      <c r="E19" s="4"/>
    </row>
    <row r="20" spans="2:5" ht="12.75">
      <c r="B20" s="4"/>
      <c r="C20" s="4"/>
      <c r="D20" s="4"/>
      <c r="E20" s="4"/>
    </row>
    <row r="21" spans="1:5" ht="12.75">
      <c r="A21" s="4"/>
      <c r="B21" s="4"/>
      <c r="C21" s="4"/>
      <c r="D21" s="4"/>
      <c r="E21" s="4"/>
    </row>
    <row r="22" spans="1:5" ht="12.75">
      <c r="A22" s="4"/>
      <c r="B22" s="4"/>
      <c r="C22" s="4"/>
      <c r="D22" s="4"/>
      <c r="E22" s="4"/>
    </row>
    <row r="23" spans="1:5" ht="12.75">
      <c r="A23" s="4"/>
      <c r="B23" s="4"/>
      <c r="C23" s="4"/>
      <c r="D23" s="4"/>
      <c r="E23" s="4"/>
    </row>
    <row r="24" spans="1:5" ht="12.75">
      <c r="A24" s="4"/>
      <c r="B24" s="4"/>
      <c r="C24" s="4"/>
      <c r="D24" s="4"/>
      <c r="E24" s="4"/>
    </row>
    <row r="25" spans="1:5" ht="12.75">
      <c r="A25" s="4"/>
      <c r="B25" s="4"/>
      <c r="C25" s="4"/>
      <c r="D25" s="4"/>
      <c r="E25" s="4"/>
    </row>
    <row r="26" spans="1:5" ht="12.75">
      <c r="A26" s="4"/>
      <c r="B26" s="4"/>
      <c r="C26" s="4"/>
      <c r="D26" s="4"/>
      <c r="E26" s="4"/>
    </row>
    <row r="27" spans="1:5" ht="12.75">
      <c r="A27" s="4"/>
      <c r="B27" s="4"/>
      <c r="C27" s="4"/>
      <c r="D27" s="4"/>
      <c r="E27" s="4"/>
    </row>
    <row r="28" spans="2:5" ht="12.75">
      <c r="B28" s="4"/>
      <c r="C28" s="4"/>
      <c r="D28" s="4"/>
      <c r="E28" s="4"/>
    </row>
    <row r="29" spans="1:5" ht="12.75">
      <c r="A29" s="4"/>
      <c r="B29" s="4"/>
      <c r="C29" s="4"/>
      <c r="D29" s="4"/>
      <c r="E29" s="4"/>
    </row>
    <row r="30" spans="1:5" ht="12.75">
      <c r="A30" s="4"/>
      <c r="B30" s="4"/>
      <c r="C30" s="4"/>
      <c r="D30" s="4"/>
      <c r="E30" s="4"/>
    </row>
    <row r="31" spans="1:5" ht="12.75">
      <c r="A31" s="4"/>
      <c r="B31" s="4"/>
      <c r="C31" s="4"/>
      <c r="D31" s="4"/>
      <c r="E31" s="4"/>
    </row>
    <row r="32" spans="1:5" ht="12.75">
      <c r="A32" s="4"/>
      <c r="B32" s="4"/>
      <c r="C32" s="4"/>
      <c r="D32" s="4"/>
      <c r="E32" s="4"/>
    </row>
    <row r="33" spans="1:5" ht="12.75">
      <c r="A33" s="4"/>
      <c r="B33" s="4"/>
      <c r="C33" s="4"/>
      <c r="D33" s="4"/>
      <c r="E33" s="4"/>
    </row>
    <row r="34" spans="1:5" ht="12.75">
      <c r="A34" s="4"/>
      <c r="B34" s="4"/>
      <c r="C34" s="4"/>
      <c r="D34" s="4"/>
      <c r="E34" s="4"/>
    </row>
    <row r="35" spans="1:5" ht="12.75">
      <c r="A35" s="4"/>
      <c r="B35" s="4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2.75">
      <c r="A37" s="4"/>
      <c r="B37" s="4"/>
      <c r="C37" s="4"/>
      <c r="D37" s="4"/>
      <c r="E37" s="4"/>
    </row>
    <row r="38" spans="1:5" ht="12.75">
      <c r="A38" s="4"/>
      <c r="B38" s="4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ht="12.75">
      <c r="A45" s="4"/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  <row r="47" spans="1:5" ht="12.75">
      <c r="A47" s="4"/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  <row r="49" spans="1:5" ht="12.75">
      <c r="A49" s="4"/>
      <c r="B49" s="4"/>
      <c r="C49" s="4"/>
      <c r="D49" s="4"/>
      <c r="E49" s="4"/>
    </row>
    <row r="50" spans="1:5" ht="12.75">
      <c r="A50" s="4" t="s">
        <v>169</v>
      </c>
      <c r="B50" s="4"/>
      <c r="C50" s="4"/>
      <c r="D50" s="4"/>
      <c r="E50" s="4"/>
    </row>
    <row r="51" spans="2:5" ht="12.75">
      <c r="B51" s="4"/>
      <c r="C51" s="4"/>
      <c r="D51" s="4"/>
      <c r="E51" s="4"/>
    </row>
  </sheetData>
  <mergeCells count="1">
    <mergeCell ref="A1:C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selection activeCell="C25" sqref="C25:D25"/>
    </sheetView>
  </sheetViews>
  <sheetFormatPr defaultColWidth="9.140625" defaultRowHeight="12.75"/>
  <cols>
    <col min="2" max="2" width="40.7109375" style="0" customWidth="1"/>
    <col min="3" max="3" width="6.7109375" style="0" customWidth="1"/>
    <col min="4" max="5" width="11.7109375" style="0" customWidth="1"/>
  </cols>
  <sheetData>
    <row r="1" spans="1:15" ht="12.75">
      <c r="A1" s="338" t="s">
        <v>275</v>
      </c>
      <c r="B1" s="338"/>
      <c r="C1" s="4"/>
      <c r="D1" s="4"/>
      <c r="E1" s="172"/>
      <c r="F1" s="4"/>
      <c r="G1" s="76" t="s">
        <v>206</v>
      </c>
      <c r="H1" s="4"/>
      <c r="I1" s="4"/>
      <c r="K1" s="4"/>
      <c r="L1" s="4"/>
      <c r="M1" s="4"/>
      <c r="N1" s="4"/>
      <c r="O1" s="4"/>
    </row>
    <row r="2" spans="1:15" ht="13.5" hidden="1" thickBot="1">
      <c r="A2" s="4"/>
      <c r="B2" s="22" t="s">
        <v>8</v>
      </c>
      <c r="C2" s="4"/>
      <c r="D2" s="66" t="s">
        <v>109</v>
      </c>
      <c r="E2" s="303" t="s">
        <v>8</v>
      </c>
      <c r="F2" s="4"/>
      <c r="G2" s="4"/>
      <c r="H2" s="87" t="s">
        <v>33</v>
      </c>
      <c r="I2" s="4"/>
      <c r="J2" s="4"/>
      <c r="K2" s="4"/>
      <c r="L2" s="4"/>
      <c r="M2" s="4"/>
      <c r="N2" s="4"/>
      <c r="O2" s="4"/>
    </row>
    <row r="3" spans="1:15" ht="13.5" hidden="1" thickTop="1">
      <c r="A3" s="4"/>
      <c r="B3" s="4" t="s">
        <v>124</v>
      </c>
      <c r="C3" s="4" t="s">
        <v>192</v>
      </c>
      <c r="D3" s="43">
        <f>ExposureHours12!B2</f>
        <v>0.059954999999999994</v>
      </c>
      <c r="E3" s="304">
        <f>D3</f>
        <v>0.059954999999999994</v>
      </c>
      <c r="F3" s="4"/>
      <c r="G3" s="4"/>
      <c r="H3" s="18"/>
      <c r="I3" s="4"/>
      <c r="J3" s="4"/>
      <c r="K3" s="4"/>
      <c r="L3" s="4"/>
      <c r="M3" s="4"/>
      <c r="N3" s="4"/>
      <c r="O3" s="4"/>
    </row>
    <row r="4" spans="1:15" ht="12.75" hidden="1">
      <c r="A4" s="4"/>
      <c r="B4" s="4"/>
      <c r="C4" s="4"/>
      <c r="D4" s="4"/>
      <c r="E4" s="172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2.75">
      <c r="A5" s="4"/>
      <c r="B5" s="22" t="s">
        <v>188</v>
      </c>
      <c r="C5" s="4"/>
      <c r="D5" s="4"/>
      <c r="E5" s="172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86" t="s">
        <v>117</v>
      </c>
      <c r="B6" s="4"/>
      <c r="C6" s="4"/>
      <c r="D6" s="4"/>
      <c r="E6" s="172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4"/>
      <c r="B7" s="4" t="s">
        <v>9</v>
      </c>
      <c r="C7" s="4" t="s">
        <v>35</v>
      </c>
      <c r="D7" s="43">
        <f>(1-'13HelmetEffectiveness'!B$5)*D16</f>
        <v>0</v>
      </c>
      <c r="E7" s="304">
        <f>D7</f>
        <v>0</v>
      </c>
      <c r="F7" s="4"/>
      <c r="G7" s="4">
        <f>1/89</f>
        <v>0.011235955056179775</v>
      </c>
      <c r="H7" s="4" t="s">
        <v>34</v>
      </c>
      <c r="I7" s="4"/>
      <c r="J7" s="4"/>
      <c r="K7" s="4" t="s">
        <v>3</v>
      </c>
      <c r="L7" s="4">
        <f>D7</f>
        <v>0</v>
      </c>
      <c r="M7" s="4"/>
      <c r="N7" s="4"/>
      <c r="O7" s="4"/>
    </row>
    <row r="8" spans="1:15" ht="12.75">
      <c r="A8" s="4"/>
      <c r="B8" s="4"/>
      <c r="C8" s="4"/>
      <c r="D8" s="4"/>
      <c r="E8" s="172"/>
      <c r="F8" s="4"/>
      <c r="G8" s="4"/>
      <c r="H8" s="4"/>
      <c r="I8" s="4"/>
      <c r="J8" s="4"/>
      <c r="K8" s="4" t="s">
        <v>11</v>
      </c>
      <c r="L8" s="4">
        <f>D9</f>
        <v>0</v>
      </c>
      <c r="M8" s="4"/>
      <c r="N8" s="4"/>
      <c r="O8" s="4"/>
    </row>
    <row r="9" spans="1:15" ht="12.75">
      <c r="A9" s="4"/>
      <c r="B9" s="4" t="s">
        <v>17</v>
      </c>
      <c r="C9" s="4" t="s">
        <v>4</v>
      </c>
      <c r="D9" s="43">
        <f>(1-'13HelmetEffectiveness'!B$5)*D18</f>
        <v>0</v>
      </c>
      <c r="E9" s="304">
        <f>D9</f>
        <v>0</v>
      </c>
      <c r="F9" s="4"/>
      <c r="G9" s="4">
        <f>G7*(14/24)</f>
        <v>0.006554307116104869</v>
      </c>
      <c r="H9" s="4" t="s">
        <v>34</v>
      </c>
      <c r="I9" s="4"/>
      <c r="J9" s="4"/>
      <c r="K9" s="4" t="s">
        <v>65</v>
      </c>
      <c r="L9" s="4">
        <f>D11</f>
        <v>0</v>
      </c>
      <c r="M9" s="4"/>
      <c r="N9" s="4"/>
      <c r="O9" s="4"/>
    </row>
    <row r="10" spans="1:15" ht="12.75">
      <c r="A10" s="4"/>
      <c r="B10" s="4"/>
      <c r="C10" s="4"/>
      <c r="D10" s="18"/>
      <c r="E10" s="172"/>
      <c r="F10" s="4"/>
      <c r="G10" s="4"/>
      <c r="H10" s="4"/>
      <c r="I10" s="4"/>
      <c r="J10" s="4"/>
      <c r="K10" s="4" t="s">
        <v>12</v>
      </c>
      <c r="L10" s="4">
        <f>D13</f>
        <v>0</v>
      </c>
      <c r="M10" s="4"/>
      <c r="N10" s="4"/>
      <c r="O10" s="4"/>
    </row>
    <row r="11" spans="1:15" ht="12.75">
      <c r="A11" s="4"/>
      <c r="B11" s="4" t="s">
        <v>16</v>
      </c>
      <c r="C11" s="4" t="s">
        <v>37</v>
      </c>
      <c r="D11" s="43">
        <f>(1-'13HelmetEffectiveness'!B$5)*D20</f>
        <v>0</v>
      </c>
      <c r="E11" s="304">
        <f>D11</f>
        <v>0</v>
      </c>
      <c r="F11" s="4"/>
      <c r="G11" s="4">
        <f>3/(89-13)</f>
        <v>0.039473684210526314</v>
      </c>
      <c r="H11" s="4" t="s">
        <v>34</v>
      </c>
      <c r="I11" s="4"/>
      <c r="J11" s="4"/>
      <c r="K11" s="4" t="s">
        <v>13</v>
      </c>
      <c r="L11" s="4">
        <f>1-SUM(L7:L10)</f>
        <v>1</v>
      </c>
      <c r="M11" s="4"/>
      <c r="N11" s="4"/>
      <c r="O11" s="4"/>
    </row>
    <row r="12" spans="1:15" ht="12.75">
      <c r="A12" s="4"/>
      <c r="B12" s="4"/>
      <c r="C12" s="4"/>
      <c r="D12" s="18"/>
      <c r="E12" s="172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2.75">
      <c r="A13" s="4"/>
      <c r="B13" s="4" t="s">
        <v>18</v>
      </c>
      <c r="C13" s="4" t="s">
        <v>38</v>
      </c>
      <c r="D13" s="43">
        <f>(1-'13HelmetEffectiveness'!B$5)*D22</f>
        <v>0</v>
      </c>
      <c r="E13" s="304">
        <f>D13</f>
        <v>0</v>
      </c>
      <c r="F13" s="4"/>
      <c r="G13" s="4">
        <f>8/(89-13)</f>
        <v>0.10526315789473684</v>
      </c>
      <c r="H13" s="4" t="s">
        <v>34</v>
      </c>
      <c r="I13" s="4"/>
      <c r="J13" s="4"/>
      <c r="K13" s="4"/>
      <c r="L13" s="4"/>
      <c r="M13" s="4"/>
      <c r="N13" s="4"/>
      <c r="O13" s="4"/>
    </row>
    <row r="14" spans="1:15" ht="12.75">
      <c r="A14" s="4"/>
      <c r="B14" s="4"/>
      <c r="C14" s="4"/>
      <c r="D14" s="4"/>
      <c r="E14" s="172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2.75">
      <c r="A15" s="86" t="s">
        <v>116</v>
      </c>
      <c r="B15" s="4"/>
      <c r="C15" s="4"/>
      <c r="D15" s="4"/>
      <c r="E15" s="172"/>
      <c r="F15" s="19"/>
      <c r="G15" s="4"/>
      <c r="H15" s="4"/>
      <c r="I15" s="4"/>
      <c r="J15" s="4"/>
      <c r="K15" s="4"/>
      <c r="L15" s="4"/>
      <c r="M15" s="4"/>
      <c r="N15" s="4"/>
      <c r="O15" s="4"/>
    </row>
    <row r="16" spans="1:15" ht="15.75">
      <c r="A16" s="4"/>
      <c r="B16" s="4" t="s">
        <v>9</v>
      </c>
      <c r="C16" s="4" t="s">
        <v>36</v>
      </c>
      <c r="D16" s="55"/>
      <c r="E16" s="304">
        <f>D16</f>
        <v>0</v>
      </c>
      <c r="F16" s="4"/>
      <c r="G16" s="4">
        <v>0.09593</v>
      </c>
      <c r="H16" s="4" t="s">
        <v>34</v>
      </c>
      <c r="I16" s="4"/>
      <c r="J16" s="4"/>
      <c r="K16" s="4" t="s">
        <v>3</v>
      </c>
      <c r="L16" s="4">
        <f>D16</f>
        <v>0</v>
      </c>
      <c r="M16" s="4"/>
      <c r="N16" s="4"/>
      <c r="O16" s="4"/>
    </row>
    <row r="17" spans="1:15" ht="12.75">
      <c r="A17" s="4"/>
      <c r="B17" s="4"/>
      <c r="C17" s="4"/>
      <c r="D17" s="4"/>
      <c r="E17" s="172"/>
      <c r="F17" s="4"/>
      <c r="G17" s="4"/>
      <c r="H17" s="4"/>
      <c r="I17" s="4"/>
      <c r="J17" s="4"/>
      <c r="K17" s="4" t="s">
        <v>11</v>
      </c>
      <c r="L17" s="4">
        <f>D18</f>
        <v>0</v>
      </c>
      <c r="M17" s="4"/>
      <c r="N17" s="4"/>
      <c r="O17" s="4"/>
    </row>
    <row r="18" spans="1:15" ht="15.75">
      <c r="A18" s="4"/>
      <c r="B18" s="4" t="s">
        <v>17</v>
      </c>
      <c r="C18" s="4" t="s">
        <v>10</v>
      </c>
      <c r="D18" s="55"/>
      <c r="E18" s="304">
        <f>D18</f>
        <v>0</v>
      </c>
      <c r="F18" s="4"/>
      <c r="G18" s="4">
        <f>G16*(14/24)</f>
        <v>0.05595916666666667</v>
      </c>
      <c r="H18" s="4" t="s">
        <v>34</v>
      </c>
      <c r="I18" s="4"/>
      <c r="J18" s="4"/>
      <c r="K18" s="4" t="s">
        <v>65</v>
      </c>
      <c r="L18" s="4">
        <f>D20</f>
        <v>0</v>
      </c>
      <c r="M18" s="4"/>
      <c r="N18" s="4"/>
      <c r="O18" s="4"/>
    </row>
    <row r="19" spans="1:15" ht="12.75">
      <c r="A19" s="4"/>
      <c r="B19" s="4"/>
      <c r="C19" s="4"/>
      <c r="D19" s="4"/>
      <c r="E19" s="172"/>
      <c r="F19" s="4"/>
      <c r="G19" s="4"/>
      <c r="H19" s="4"/>
      <c r="I19" s="4"/>
      <c r="J19" s="4"/>
      <c r="K19" s="4" t="s">
        <v>12</v>
      </c>
      <c r="L19" s="4">
        <f>D22</f>
        <v>0</v>
      </c>
      <c r="M19" s="4"/>
      <c r="N19" s="4"/>
      <c r="O19" s="4"/>
    </row>
    <row r="20" spans="1:15" ht="15.75">
      <c r="A20" s="4"/>
      <c r="B20" s="4" t="s">
        <v>16</v>
      </c>
      <c r="C20" s="4" t="s">
        <v>39</v>
      </c>
      <c r="D20" s="55"/>
      <c r="E20" s="304">
        <f>D20</f>
        <v>0</v>
      </c>
      <c r="F20" s="4"/>
      <c r="G20" s="4">
        <f>68/(443-66)</f>
        <v>0.18037135278514588</v>
      </c>
      <c r="H20" s="4" t="s">
        <v>34</v>
      </c>
      <c r="I20" s="4"/>
      <c r="J20" s="4"/>
      <c r="K20" s="4" t="s">
        <v>13</v>
      </c>
      <c r="L20" s="4">
        <f>1-SUM(L16:L19)</f>
        <v>1</v>
      </c>
      <c r="M20" s="4"/>
      <c r="N20" s="4"/>
      <c r="O20" s="4"/>
    </row>
    <row r="21" spans="1:15" ht="12.75">
      <c r="A21" s="4"/>
      <c r="B21" s="4"/>
      <c r="C21" s="4"/>
      <c r="D21" s="4"/>
      <c r="E21" s="172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5.75">
      <c r="A22" s="4"/>
      <c r="B22" s="4" t="s">
        <v>18</v>
      </c>
      <c r="C22" s="4" t="s">
        <v>40</v>
      </c>
      <c r="D22" s="55"/>
      <c r="E22" s="304">
        <f>D22</f>
        <v>0</v>
      </c>
      <c r="F22" s="4"/>
      <c r="G22" s="4">
        <f>97/(443-66)</f>
        <v>0.2572944297082228</v>
      </c>
      <c r="H22" s="4" t="s">
        <v>34</v>
      </c>
      <c r="I22" s="4"/>
      <c r="J22" s="4"/>
      <c r="K22" s="4"/>
      <c r="L22" s="4"/>
      <c r="M22" s="4"/>
      <c r="N22" s="4"/>
      <c r="O22" s="4"/>
    </row>
    <row r="23" spans="1:15" ht="12.75">
      <c r="A23" s="4"/>
      <c r="B23" s="4"/>
      <c r="C23" s="4"/>
      <c r="D23" s="4"/>
      <c r="E23" s="172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5.75">
      <c r="A24" s="254" t="s">
        <v>259</v>
      </c>
      <c r="B24" s="4"/>
      <c r="C24" s="4"/>
      <c r="D24" s="4"/>
      <c r="E24" s="4"/>
      <c r="F24" s="4"/>
      <c r="G24" s="4"/>
      <c r="H24" s="4" t="s">
        <v>41</v>
      </c>
      <c r="I24" s="4"/>
      <c r="J24" s="4"/>
      <c r="K24" s="4"/>
      <c r="L24" s="4"/>
      <c r="M24" s="4"/>
      <c r="N24" s="4"/>
      <c r="O24" s="4"/>
    </row>
    <row r="25" spans="1:15" ht="16.5" thickBot="1">
      <c r="A25" s="4"/>
      <c r="B25" s="293" t="s">
        <v>252</v>
      </c>
      <c r="C25" s="341"/>
      <c r="D25" s="341"/>
      <c r="E25" s="77" t="b">
        <f>EXACT(C25,"increase")</f>
        <v>0</v>
      </c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.75">
      <c r="A26" s="4"/>
      <c r="B26" s="4"/>
      <c r="C26" s="4"/>
      <c r="D26" s="4"/>
      <c r="E26" s="4"/>
      <c r="F26" s="4"/>
      <c r="G26" s="4"/>
      <c r="H26" s="4" t="s">
        <v>34</v>
      </c>
      <c r="I26" s="4"/>
      <c r="J26" s="4"/>
      <c r="K26" s="4"/>
      <c r="L26" s="4"/>
      <c r="M26" s="4"/>
      <c r="N26" s="4"/>
      <c r="O26" s="4"/>
    </row>
    <row r="27" spans="1:15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.75">
      <c r="A29" s="4"/>
      <c r="B29" s="4"/>
      <c r="C29" s="4"/>
      <c r="D29" s="4"/>
      <c r="E29" s="4"/>
      <c r="F29" s="4"/>
      <c r="G29" s="4"/>
      <c r="H29" s="4" t="s">
        <v>34</v>
      </c>
      <c r="I29" s="4"/>
      <c r="J29" s="4"/>
      <c r="K29" s="4"/>
      <c r="L29" s="4"/>
      <c r="M29" s="4"/>
      <c r="N29" s="4"/>
      <c r="O29" s="4"/>
    </row>
    <row r="30" spans="1:15" ht="12.75">
      <c r="A30" s="4"/>
      <c r="B30" s="4"/>
      <c r="C30" s="4" t="s">
        <v>222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A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.75">
      <c r="A38" s="4"/>
      <c r="B38" s="19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2.75">
      <c r="A50" s="4" t="s">
        <v>169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</sheetData>
  <mergeCells count="2">
    <mergeCell ref="A1:B1"/>
    <mergeCell ref="C25:D25"/>
  </mergeCells>
  <printOptions/>
  <pageMargins left="0.82" right="0.75" top="1" bottom="1" header="0.5" footer="0.5"/>
  <pageSetup horizontalDpi="300" verticalDpi="3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42"/>
  <sheetViews>
    <sheetView view="pageBreakPreview" zoomScaleNormal="70" zoomScaleSheetLayoutView="100" workbookViewId="0" topLeftCell="M4">
      <selection activeCell="Q41" sqref="Q41"/>
    </sheetView>
  </sheetViews>
  <sheetFormatPr defaultColWidth="9.140625" defaultRowHeight="12.75"/>
  <cols>
    <col min="1" max="1" width="2.7109375" style="0" hidden="1" customWidth="1"/>
    <col min="2" max="3" width="1.7109375" style="0" hidden="1" customWidth="1"/>
    <col min="4" max="5" width="0" style="0" hidden="1" customWidth="1"/>
    <col min="6" max="6" width="7.7109375" style="0" hidden="1" customWidth="1"/>
    <col min="7" max="7" width="2.7109375" style="0" hidden="1" customWidth="1"/>
    <col min="8" max="8" width="6.7109375" style="0" hidden="1" customWidth="1"/>
    <col min="9" max="10" width="0" style="0" hidden="1" customWidth="1"/>
    <col min="11" max="11" width="15.7109375" style="0" hidden="1" customWidth="1"/>
    <col min="12" max="12" width="13.7109375" style="0" hidden="1" customWidth="1"/>
    <col min="13" max="13" width="2.7109375" style="0" customWidth="1"/>
    <col min="14" max="14" width="18.7109375" style="0" customWidth="1"/>
    <col min="15" max="15" width="9.8515625" style="0" bestFit="1" customWidth="1"/>
    <col min="16" max="16" width="11.7109375" style="0" customWidth="1"/>
    <col min="17" max="17" width="18.7109375" style="0" customWidth="1"/>
    <col min="18" max="18" width="2.7109375" style="0" customWidth="1"/>
    <col min="19" max="19" width="7.7109375" style="0" customWidth="1"/>
    <col min="20" max="20" width="10.7109375" style="0" customWidth="1"/>
  </cols>
  <sheetData>
    <row r="1" spans="1:22" ht="15.75" thickBot="1">
      <c r="A1" s="353" t="s">
        <v>218</v>
      </c>
      <c r="B1" s="353"/>
      <c r="C1" s="353"/>
      <c r="D1" s="353"/>
      <c r="E1" s="353"/>
      <c r="F1" s="353"/>
      <c r="G1" s="353"/>
      <c r="H1" s="85"/>
      <c r="I1" s="135"/>
      <c r="J1" s="135"/>
      <c r="K1" s="135"/>
      <c r="L1" s="135"/>
      <c r="M1" s="96"/>
      <c r="N1" s="305" t="s">
        <v>290</v>
      </c>
      <c r="O1" s="88"/>
      <c r="P1" s="88"/>
      <c r="Q1" s="18"/>
      <c r="R1" s="85"/>
      <c r="S1" s="18"/>
      <c r="T1" s="97"/>
      <c r="U1" s="4"/>
      <c r="V1" s="4"/>
    </row>
    <row r="2" spans="1:22" ht="15.75" hidden="1">
      <c r="A2" s="4"/>
      <c r="B2" s="4"/>
      <c r="C2" s="4"/>
      <c r="D2" s="17" t="s">
        <v>1</v>
      </c>
      <c r="E2" s="18"/>
      <c r="F2" s="17" t="s">
        <v>6</v>
      </c>
      <c r="G2" s="4"/>
      <c r="H2" s="4"/>
      <c r="I2" s="22" t="s">
        <v>7</v>
      </c>
      <c r="J2" s="4"/>
      <c r="K2" s="17" t="s">
        <v>2</v>
      </c>
      <c r="L2" s="4"/>
      <c r="M2" s="18"/>
      <c r="N2" s="339" t="s">
        <v>265</v>
      </c>
      <c r="O2" s="339"/>
      <c r="P2" s="339"/>
      <c r="Q2" s="339"/>
      <c r="R2" s="339"/>
      <c r="S2" s="339"/>
      <c r="T2" s="18"/>
      <c r="U2" s="4"/>
      <c r="V2" s="4"/>
    </row>
    <row r="3" spans="1:22" ht="16.5" hidden="1" thickBot="1">
      <c r="A3" s="4"/>
      <c r="B3" s="4"/>
      <c r="C3" s="4"/>
      <c r="D3" s="19"/>
      <c r="E3" s="4"/>
      <c r="F3" s="4"/>
      <c r="G3" s="4"/>
      <c r="H3" s="4"/>
      <c r="I3" s="4"/>
      <c r="J3" s="4"/>
      <c r="K3" s="4"/>
      <c r="L3" s="4"/>
      <c r="M3" s="99"/>
      <c r="N3" s="333" t="s">
        <v>241</v>
      </c>
      <c r="O3" s="333"/>
      <c r="P3" s="301">
        <v>1</v>
      </c>
      <c r="Q3" s="352" t="str">
        <f>IF(P3=1,"This is correct!","Try again.")</f>
        <v>This is correct!</v>
      </c>
      <c r="R3" s="352"/>
      <c r="S3" s="288"/>
      <c r="U3" s="4"/>
      <c r="V3" s="4"/>
    </row>
    <row r="4" spans="1:22" ht="15.75" thickBot="1">
      <c r="A4" s="4"/>
      <c r="B4" s="4"/>
      <c r="C4" s="4"/>
      <c r="D4" s="19"/>
      <c r="E4" s="4"/>
      <c r="F4" s="4"/>
      <c r="G4" s="4"/>
      <c r="H4" s="18"/>
      <c r="I4" s="20" t="s">
        <v>3</v>
      </c>
      <c r="J4" s="20"/>
      <c r="K4" s="230" t="s">
        <v>48</v>
      </c>
      <c r="L4" s="84">
        <f>F$11*I5</f>
        <v>0</v>
      </c>
      <c r="M4" s="92"/>
      <c r="N4" s="101"/>
      <c r="O4" s="92"/>
      <c r="P4" s="92"/>
      <c r="Q4" s="92"/>
      <c r="R4" s="92"/>
      <c r="S4" s="18"/>
      <c r="T4" s="18"/>
      <c r="U4" s="4"/>
      <c r="V4" s="4"/>
    </row>
    <row r="5" spans="1:22" ht="15" thickBot="1">
      <c r="A5" s="4"/>
      <c r="B5" s="4"/>
      <c r="C5" s="4"/>
      <c r="D5" s="19"/>
      <c r="E5" s="4"/>
      <c r="F5" s="4"/>
      <c r="G5" s="18"/>
      <c r="H5" s="18" t="s">
        <v>35</v>
      </c>
      <c r="I5" s="36">
        <f>(9Probabilities!D7)</f>
        <v>0</v>
      </c>
      <c r="J5" s="4"/>
      <c r="K5" s="231" t="s">
        <v>42</v>
      </c>
      <c r="L5" s="4" t="s">
        <v>62</v>
      </c>
      <c r="M5" s="91"/>
      <c r="N5" s="102"/>
      <c r="O5" s="103"/>
      <c r="P5" s="103"/>
      <c r="Q5" s="104"/>
      <c r="R5" s="92"/>
      <c r="S5" s="18"/>
      <c r="T5" s="18"/>
      <c r="U5" s="4"/>
      <c r="V5" s="4"/>
    </row>
    <row r="6" spans="1:22" ht="15" thickBot="1">
      <c r="A6" s="4"/>
      <c r="B6" s="4"/>
      <c r="C6" s="4"/>
      <c r="D6" s="4"/>
      <c r="E6" s="4"/>
      <c r="F6" s="4"/>
      <c r="G6" s="4"/>
      <c r="H6" s="4"/>
      <c r="I6" s="14"/>
      <c r="J6" s="4"/>
      <c r="K6" s="4"/>
      <c r="L6" s="4"/>
      <c r="M6" s="105"/>
      <c r="N6" s="92"/>
      <c r="O6" s="92"/>
      <c r="P6" s="92"/>
      <c r="Q6" s="92"/>
      <c r="R6" s="92"/>
      <c r="S6" s="18"/>
      <c r="T6" s="18"/>
      <c r="U6" s="4"/>
      <c r="V6" s="4"/>
    </row>
    <row r="7" spans="1:22" ht="15" thickBot="1">
      <c r="A7" s="4"/>
      <c r="B7" s="4"/>
      <c r="C7" s="4"/>
      <c r="D7" s="4"/>
      <c r="E7" s="4"/>
      <c r="F7" s="4"/>
      <c r="G7" s="4"/>
      <c r="H7" s="4"/>
      <c r="I7" s="15" t="s">
        <v>11</v>
      </c>
      <c r="J7" s="20"/>
      <c r="K7" s="247" t="s">
        <v>43</v>
      </c>
      <c r="L7" s="84">
        <f>F$11*I8</f>
        <v>0</v>
      </c>
      <c r="M7" s="105"/>
      <c r="N7" s="92"/>
      <c r="O7" s="92"/>
      <c r="P7" s="92"/>
      <c r="Q7" s="92"/>
      <c r="R7" s="92"/>
      <c r="S7" s="18"/>
      <c r="T7" s="18"/>
      <c r="U7" s="4"/>
      <c r="V7" s="4"/>
    </row>
    <row r="8" spans="1:22" ht="15" thickBot="1">
      <c r="A8" s="4"/>
      <c r="B8" s="4"/>
      <c r="C8" s="4"/>
      <c r="D8" s="4"/>
      <c r="E8" s="4"/>
      <c r="F8" s="4"/>
      <c r="G8" s="4"/>
      <c r="H8" s="4" t="s">
        <v>4</v>
      </c>
      <c r="I8" s="35">
        <f>(9Probabilities!D9)</f>
        <v>0</v>
      </c>
      <c r="J8" s="4"/>
      <c r="K8" s="248" t="s">
        <v>45</v>
      </c>
      <c r="L8" s="4" t="s">
        <v>63</v>
      </c>
      <c r="M8" s="91"/>
      <c r="N8" s="102"/>
      <c r="O8" s="103"/>
      <c r="P8" s="103"/>
      <c r="Q8" s="104"/>
      <c r="R8" s="92"/>
      <c r="S8" s="18"/>
      <c r="T8" s="18"/>
      <c r="U8" s="4"/>
      <c r="V8" s="4"/>
    </row>
    <row r="9" spans="1:22" ht="15" thickBot="1">
      <c r="A9" s="4"/>
      <c r="B9" s="4"/>
      <c r="C9" s="4"/>
      <c r="D9" s="4"/>
      <c r="E9" s="4"/>
      <c r="F9" s="4"/>
      <c r="G9" s="4"/>
      <c r="H9" s="4"/>
      <c r="I9" s="14"/>
      <c r="J9" s="4"/>
      <c r="K9" s="4"/>
      <c r="L9" s="4"/>
      <c r="M9" s="105"/>
      <c r="N9" s="92"/>
      <c r="O9" s="106"/>
      <c r="P9" s="106"/>
      <c r="Q9" s="92"/>
      <c r="R9" s="92"/>
      <c r="S9" s="18"/>
      <c r="T9" s="18"/>
      <c r="U9" s="4"/>
      <c r="V9" s="4"/>
    </row>
    <row r="10" spans="1:22" ht="15" thickBot="1">
      <c r="A10" s="4"/>
      <c r="B10" s="4"/>
      <c r="C10" s="4"/>
      <c r="D10" s="4"/>
      <c r="E10" s="4"/>
      <c r="F10" s="21" t="s">
        <v>114</v>
      </c>
      <c r="G10" s="20"/>
      <c r="H10" s="20"/>
      <c r="I10" s="26" t="s">
        <v>14</v>
      </c>
      <c r="J10" s="20"/>
      <c r="K10" s="123" t="s">
        <v>44</v>
      </c>
      <c r="L10" s="84">
        <f>F$11*I11</f>
        <v>0</v>
      </c>
      <c r="M10" s="105"/>
      <c r="N10" s="92"/>
      <c r="O10" s="106"/>
      <c r="P10" s="106"/>
      <c r="Q10" s="92"/>
      <c r="R10" s="92"/>
      <c r="S10" s="18"/>
      <c r="T10" s="18"/>
      <c r="U10" s="4"/>
      <c r="V10" s="4"/>
    </row>
    <row r="11" spans="1:22" ht="15" thickBot="1">
      <c r="A11" s="4"/>
      <c r="B11" s="4"/>
      <c r="C11" s="4"/>
      <c r="D11" s="18"/>
      <c r="E11" s="39" t="s">
        <v>192</v>
      </c>
      <c r="F11" s="34">
        <f>ExposureHours12!B2</f>
        <v>0.059954999999999994</v>
      </c>
      <c r="G11" s="4"/>
      <c r="H11" s="4" t="s">
        <v>37</v>
      </c>
      <c r="I11" s="35">
        <f>(9Probabilities!D11)</f>
        <v>0</v>
      </c>
      <c r="J11" s="37"/>
      <c r="K11" s="124" t="s">
        <v>46</v>
      </c>
      <c r="L11" s="4" t="s">
        <v>106</v>
      </c>
      <c r="M11" s="91"/>
      <c r="N11" s="102"/>
      <c r="O11" s="103"/>
      <c r="P11" s="103"/>
      <c r="Q11" s="92"/>
      <c r="R11" s="92"/>
      <c r="S11" s="18"/>
      <c r="T11" s="18"/>
      <c r="U11" s="4"/>
      <c r="V11" s="4"/>
    </row>
    <row r="12" spans="1:22" ht="15" thickBot="1">
      <c r="A12" s="4"/>
      <c r="B12" s="4"/>
      <c r="C12" s="4"/>
      <c r="D12" s="4"/>
      <c r="E12" s="4"/>
      <c r="F12" s="14"/>
      <c r="G12" s="18"/>
      <c r="H12" s="4"/>
      <c r="I12" s="14"/>
      <c r="J12" s="4"/>
      <c r="K12" s="4"/>
      <c r="L12" s="4"/>
      <c r="M12" s="105"/>
      <c r="N12" s="92"/>
      <c r="O12" s="106"/>
      <c r="P12" s="106"/>
      <c r="Q12" s="92"/>
      <c r="R12" s="92"/>
      <c r="S12" s="18"/>
      <c r="T12" s="18"/>
      <c r="U12" s="4"/>
      <c r="V12" s="4"/>
    </row>
    <row r="13" spans="1:22" ht="15" thickBot="1">
      <c r="A13" s="4"/>
      <c r="B13" s="4"/>
      <c r="C13" s="4"/>
      <c r="D13" s="4"/>
      <c r="E13" s="4"/>
      <c r="F13" s="14"/>
      <c r="G13" s="18"/>
      <c r="H13" s="4"/>
      <c r="I13" s="15" t="s">
        <v>12</v>
      </c>
      <c r="J13" s="20"/>
      <c r="K13" s="121" t="s">
        <v>15</v>
      </c>
      <c r="L13" s="84">
        <f>F$11*I14</f>
        <v>0</v>
      </c>
      <c r="M13" s="105"/>
      <c r="N13" s="92"/>
      <c r="O13" s="106"/>
      <c r="P13" s="106"/>
      <c r="Q13" s="92"/>
      <c r="R13" s="92"/>
      <c r="S13" s="18"/>
      <c r="T13" s="18"/>
      <c r="U13" s="4"/>
      <c r="V13" s="4"/>
    </row>
    <row r="14" spans="1:22" ht="15" thickBot="1">
      <c r="A14" s="4"/>
      <c r="B14" s="4"/>
      <c r="C14" s="4"/>
      <c r="D14" s="4"/>
      <c r="E14" s="4"/>
      <c r="F14" s="14"/>
      <c r="G14" s="18"/>
      <c r="H14" s="4" t="s">
        <v>38</v>
      </c>
      <c r="I14" s="35">
        <f>(9Probabilities!D13)</f>
        <v>0</v>
      </c>
      <c r="J14" s="25"/>
      <c r="K14" s="122" t="s">
        <v>47</v>
      </c>
      <c r="L14" s="4" t="s">
        <v>107</v>
      </c>
      <c r="M14" s="91"/>
      <c r="N14" s="102"/>
      <c r="O14" s="103"/>
      <c r="P14" s="103"/>
      <c r="Q14" s="92"/>
      <c r="R14" s="92"/>
      <c r="S14" s="18"/>
      <c r="T14" s="18"/>
      <c r="U14" s="4"/>
      <c r="V14" s="4"/>
    </row>
    <row r="15" spans="1:22" ht="15" thickBot="1">
      <c r="A15" s="4"/>
      <c r="B15" s="4"/>
      <c r="C15" s="20"/>
      <c r="D15" s="45" t="s">
        <v>113</v>
      </c>
      <c r="E15" s="20"/>
      <c r="F15" s="14"/>
      <c r="G15" s="18"/>
      <c r="H15" s="4"/>
      <c r="I15" s="14"/>
      <c r="J15" s="4"/>
      <c r="K15" s="4"/>
      <c r="L15" s="4"/>
      <c r="M15" s="107"/>
      <c r="N15" s="108"/>
      <c r="O15" s="92"/>
      <c r="P15" s="18" t="s">
        <v>110</v>
      </c>
      <c r="Q15" s="109" t="s">
        <v>64</v>
      </c>
      <c r="R15" s="92" t="s">
        <v>0</v>
      </c>
      <c r="T15" s="18"/>
      <c r="U15" s="4"/>
      <c r="V15" s="4"/>
    </row>
    <row r="16" spans="1:22" ht="15" thickBot="1">
      <c r="A16" s="4"/>
      <c r="B16" s="4"/>
      <c r="C16" s="14"/>
      <c r="D16" s="4"/>
      <c r="E16" s="4"/>
      <c r="F16" s="14"/>
      <c r="G16" s="18"/>
      <c r="H16" s="4"/>
      <c r="I16" s="15" t="s">
        <v>13</v>
      </c>
      <c r="J16" s="20"/>
      <c r="K16" s="23" t="s">
        <v>5</v>
      </c>
      <c r="L16" s="84"/>
      <c r="M16" s="91"/>
      <c r="N16" s="92"/>
      <c r="O16" s="92" t="s">
        <v>62</v>
      </c>
      <c r="P16" s="120">
        <f>R16-Q16</f>
        <v>0</v>
      </c>
      <c r="Q16" s="93">
        <f>100000*L4</f>
        <v>0</v>
      </c>
      <c r="R16" s="92">
        <f>100000*L27</f>
        <v>0</v>
      </c>
      <c r="T16" s="18"/>
      <c r="U16" s="4"/>
      <c r="V16" s="4"/>
    </row>
    <row r="17" spans="1:22" ht="15" thickBot="1">
      <c r="A17" s="4"/>
      <c r="B17" s="4"/>
      <c r="C17" s="14"/>
      <c r="D17" s="4"/>
      <c r="E17" s="4"/>
      <c r="F17" s="14"/>
      <c r="G17" s="42" t="s">
        <v>79</v>
      </c>
      <c r="H17" s="42"/>
      <c r="I17" s="38">
        <f>1-I5-I8-I11-I14</f>
        <v>1</v>
      </c>
      <c r="J17" s="4"/>
      <c r="K17" s="24"/>
      <c r="L17" s="4"/>
      <c r="M17" s="91"/>
      <c r="N17" s="92"/>
      <c r="O17" s="92" t="s">
        <v>63</v>
      </c>
      <c r="P17" s="120">
        <f>R17-Q17</f>
        <v>0</v>
      </c>
      <c r="Q17" s="93">
        <f>100000*L7</f>
        <v>0</v>
      </c>
      <c r="R17" s="92">
        <f>100000*L30</f>
        <v>0</v>
      </c>
      <c r="T17" s="18"/>
      <c r="U17" s="4"/>
      <c r="V17" s="4"/>
    </row>
    <row r="18" spans="1:22" ht="15" thickBot="1">
      <c r="A18" s="4"/>
      <c r="B18" s="4"/>
      <c r="C18" s="14"/>
      <c r="D18" s="4"/>
      <c r="E18" s="4"/>
      <c r="F18" s="14"/>
      <c r="G18" s="18"/>
      <c r="H18" s="4"/>
      <c r="I18" s="4"/>
      <c r="J18" s="4"/>
      <c r="K18" s="4"/>
      <c r="L18" s="4"/>
      <c r="M18" s="91"/>
      <c r="N18" s="92"/>
      <c r="O18" s="92" t="s">
        <v>106</v>
      </c>
      <c r="P18" s="120">
        <f>R18-Q18</f>
        <v>0</v>
      </c>
      <c r="Q18" s="93">
        <f>100000*L10</f>
        <v>0</v>
      </c>
      <c r="R18" s="92">
        <f>100000*L33</f>
        <v>0</v>
      </c>
      <c r="T18" s="18"/>
      <c r="U18" s="4"/>
      <c r="V18" s="4"/>
    </row>
    <row r="19" spans="1:22" ht="15" thickBot="1">
      <c r="A19" s="4"/>
      <c r="B19" s="4"/>
      <c r="C19" s="14"/>
      <c r="D19" s="4"/>
      <c r="F19" s="27" t="s">
        <v>115</v>
      </c>
      <c r="G19" s="21"/>
      <c r="H19" s="20"/>
      <c r="I19" s="20"/>
      <c r="J19" s="20"/>
      <c r="K19" s="23" t="s">
        <v>5</v>
      </c>
      <c r="L19" s="4"/>
      <c r="M19" s="91"/>
      <c r="N19" s="92"/>
      <c r="O19" s="92" t="s">
        <v>107</v>
      </c>
      <c r="P19" s="120">
        <f>R19-Q19</f>
        <v>0</v>
      </c>
      <c r="Q19" s="93">
        <f>100000*L13</f>
        <v>0</v>
      </c>
      <c r="R19" s="92">
        <f>100000*L36</f>
        <v>0</v>
      </c>
      <c r="T19" s="18"/>
      <c r="U19" s="4"/>
      <c r="V19" s="4"/>
    </row>
    <row r="20" spans="1:22" ht="15" thickBot="1">
      <c r="A20" s="4"/>
      <c r="B20" s="4"/>
      <c r="C20" s="14"/>
      <c r="D20" s="4"/>
      <c r="E20" s="39" t="s">
        <v>193</v>
      </c>
      <c r="F20" s="33">
        <f>1-F11</f>
        <v>0.940045</v>
      </c>
      <c r="G20" s="4"/>
      <c r="H20" s="18"/>
      <c r="I20" s="18"/>
      <c r="J20" s="4"/>
      <c r="K20" s="24"/>
      <c r="L20" s="4"/>
      <c r="M20" s="105"/>
      <c r="N20" s="18"/>
      <c r="O20" s="18"/>
      <c r="Q20" s="18"/>
      <c r="R20" s="92"/>
      <c r="S20" s="18"/>
      <c r="T20" s="18"/>
      <c r="U20" s="4"/>
      <c r="V20" s="4"/>
    </row>
    <row r="21" spans="1:22" ht="15" thickBot="1">
      <c r="A21" s="4"/>
      <c r="B21" s="4"/>
      <c r="C21" s="15"/>
      <c r="E21" s="18"/>
      <c r="F21" s="18"/>
      <c r="G21" s="18"/>
      <c r="H21" s="18"/>
      <c r="I21" s="18"/>
      <c r="J21" s="4"/>
      <c r="K21" s="4"/>
      <c r="L21" s="4"/>
      <c r="M21" s="105"/>
      <c r="N21" s="92"/>
      <c r="O21" s="92"/>
      <c r="P21" s="92"/>
      <c r="Q21" s="92"/>
      <c r="R21" s="92"/>
      <c r="S21" s="110"/>
      <c r="T21" s="110"/>
      <c r="U21" s="4"/>
      <c r="V21" s="4"/>
    </row>
    <row r="22" spans="2:22" ht="16.5" thickBot="1">
      <c r="B22" s="2"/>
      <c r="C22" s="3"/>
      <c r="D22" s="355" t="s">
        <v>260</v>
      </c>
      <c r="E22" s="346"/>
      <c r="F22" s="346"/>
      <c r="G22" s="346"/>
      <c r="H22" s="346"/>
      <c r="I22" s="346"/>
      <c r="J22" s="346"/>
      <c r="K22" s="346"/>
      <c r="L22" s="346"/>
      <c r="N22" s="92"/>
      <c r="O22" s="92"/>
      <c r="P22" s="92"/>
      <c r="Q22" s="92"/>
      <c r="R22" s="92"/>
      <c r="S22" s="110"/>
      <c r="T22" s="110"/>
      <c r="U22" s="4"/>
      <c r="V22" s="4"/>
    </row>
    <row r="23" spans="1:22" ht="15.75" thickBot="1">
      <c r="A23" s="4"/>
      <c r="B23" s="4"/>
      <c r="C23" s="16"/>
      <c r="D23" s="356" t="s">
        <v>239</v>
      </c>
      <c r="E23" s="356"/>
      <c r="F23" s="300" t="b">
        <f>EXACT(D23,"wear helmet")</f>
        <v>1</v>
      </c>
      <c r="G23" s="296"/>
      <c r="H23" s="356" t="s">
        <v>240</v>
      </c>
      <c r="I23" s="356"/>
      <c r="J23" s="297" t="b">
        <f>EXACT(H23,"no helmet")</f>
        <v>1</v>
      </c>
      <c r="K23" s="298"/>
      <c r="L23" s="298"/>
      <c r="M23" s="105"/>
      <c r="N23" s="92"/>
      <c r="O23" s="92"/>
      <c r="P23" s="92"/>
      <c r="Q23" s="92"/>
      <c r="R23" s="92"/>
      <c r="S23" s="110"/>
      <c r="T23" s="110"/>
      <c r="U23" s="4"/>
      <c r="V23" s="4"/>
    </row>
    <row r="24" spans="1:22" ht="15" thickBot="1">
      <c r="A24" s="4"/>
      <c r="B24" s="4"/>
      <c r="C24" s="14"/>
      <c r="D24" s="4"/>
      <c r="E24" s="18"/>
      <c r="F24" s="21" t="s">
        <v>115</v>
      </c>
      <c r="G24" s="21"/>
      <c r="H24" s="20"/>
      <c r="I24" s="20"/>
      <c r="J24" s="20"/>
      <c r="K24" s="23" t="s">
        <v>5</v>
      </c>
      <c r="L24" s="4"/>
      <c r="M24" s="111"/>
      <c r="N24" s="92"/>
      <c r="O24" s="92"/>
      <c r="P24" s="92"/>
      <c r="Q24" s="92"/>
      <c r="R24" s="92"/>
      <c r="S24" s="110"/>
      <c r="T24" s="110"/>
      <c r="U24" s="4"/>
      <c r="V24" s="4"/>
    </row>
    <row r="25" spans="1:22" ht="16.5" thickBot="1">
      <c r="A25" s="4"/>
      <c r="B25" s="4"/>
      <c r="C25" s="14"/>
      <c r="D25" s="4"/>
      <c r="E25" s="39" t="s">
        <v>194</v>
      </c>
      <c r="F25" s="34">
        <f>1-F34</f>
        <v>0.940045</v>
      </c>
      <c r="G25" s="4"/>
      <c r="H25" s="18"/>
      <c r="I25" s="18"/>
      <c r="J25" s="4"/>
      <c r="K25" s="24"/>
      <c r="L25" s="4"/>
      <c r="M25" s="112"/>
      <c r="N25" s="354"/>
      <c r="O25" s="354"/>
      <c r="P25" s="88"/>
      <c r="Q25" s="104"/>
      <c r="R25" s="92"/>
      <c r="S25" s="18"/>
      <c r="T25" s="18"/>
      <c r="U25" s="4"/>
      <c r="V25" s="4"/>
    </row>
    <row r="26" spans="1:22" ht="15.75" thickBot="1">
      <c r="A26" s="4"/>
      <c r="B26" s="4"/>
      <c r="C26" s="14"/>
      <c r="D26" s="4"/>
      <c r="E26" s="18"/>
      <c r="F26" s="14"/>
      <c r="G26" s="4"/>
      <c r="H26" s="4"/>
      <c r="I26" s="4"/>
      <c r="J26" s="4"/>
      <c r="K26" s="4"/>
      <c r="L26" s="4"/>
      <c r="M26" s="113"/>
      <c r="N26" s="89"/>
      <c r="O26" s="89"/>
      <c r="P26" s="89"/>
      <c r="Q26" s="100"/>
      <c r="R26" s="92"/>
      <c r="S26" s="18"/>
      <c r="T26" s="18"/>
      <c r="U26" s="4"/>
      <c r="V26" s="4"/>
    </row>
    <row r="27" spans="1:22" ht="16.5" thickBot="1">
      <c r="A27" s="4"/>
      <c r="B27" s="4"/>
      <c r="C27" s="14"/>
      <c r="D27" s="4"/>
      <c r="E27" s="4"/>
      <c r="F27" s="14"/>
      <c r="G27" s="18"/>
      <c r="H27" s="18"/>
      <c r="I27" s="20" t="s">
        <v>3</v>
      </c>
      <c r="J27" s="20"/>
      <c r="K27" s="230" t="s">
        <v>48</v>
      </c>
      <c r="L27" s="84">
        <f>F$34*I28</f>
        <v>0</v>
      </c>
      <c r="M27" s="114"/>
      <c r="N27" s="229" t="s">
        <v>155</v>
      </c>
      <c r="O27" s="229"/>
      <c r="P27" s="229"/>
      <c r="Q27" s="229"/>
      <c r="R27" s="229"/>
      <c r="S27" s="18"/>
      <c r="T27" s="18"/>
      <c r="U27" s="4"/>
      <c r="V27" s="4"/>
    </row>
    <row r="28" spans="1:22" ht="16.5" thickBot="1">
      <c r="A28" s="4"/>
      <c r="B28" s="4"/>
      <c r="C28" s="14"/>
      <c r="D28" s="4"/>
      <c r="E28" s="4"/>
      <c r="F28" s="14"/>
      <c r="G28" s="18"/>
      <c r="H28" s="18" t="s">
        <v>58</v>
      </c>
      <c r="I28" s="36">
        <f>(9Probabilities!D16)</f>
        <v>0</v>
      </c>
      <c r="J28" s="4"/>
      <c r="K28" s="231" t="s">
        <v>42</v>
      </c>
      <c r="L28" s="4" t="s">
        <v>62</v>
      </c>
      <c r="M28" s="115"/>
      <c r="N28" s="99" t="s">
        <v>111</v>
      </c>
      <c r="O28" s="125" t="s">
        <v>122</v>
      </c>
      <c r="P28" s="125" t="s">
        <v>125</v>
      </c>
      <c r="Q28" s="125" t="s">
        <v>156</v>
      </c>
      <c r="R28" s="90"/>
      <c r="S28" s="18"/>
      <c r="T28" s="18"/>
      <c r="U28" s="4"/>
      <c r="V28" s="4"/>
    </row>
    <row r="29" spans="1:22" ht="15.75" thickBot="1">
      <c r="A29" s="4"/>
      <c r="B29" s="4"/>
      <c r="C29" s="15"/>
      <c r="D29" s="46" t="s">
        <v>125</v>
      </c>
      <c r="E29" s="20"/>
      <c r="F29" s="14"/>
      <c r="G29" s="18"/>
      <c r="H29" s="18"/>
      <c r="I29" s="14"/>
      <c r="J29" s="4"/>
      <c r="K29" s="4"/>
      <c r="L29" s="4"/>
      <c r="M29" s="114"/>
      <c r="N29" s="232" t="s">
        <v>62</v>
      </c>
      <c r="O29" s="233">
        <f>100000*L4</f>
        <v>0</v>
      </c>
      <c r="P29" s="234">
        <f>100000*L27</f>
        <v>0</v>
      </c>
      <c r="Q29" s="233">
        <f>P29-O29</f>
        <v>0</v>
      </c>
      <c r="R29" s="90"/>
      <c r="S29" s="18"/>
      <c r="T29" s="18"/>
      <c r="U29" s="4"/>
      <c r="V29" s="4"/>
    </row>
    <row r="30" spans="1:22" ht="15.75" thickBot="1">
      <c r="A30" s="4"/>
      <c r="B30" s="4"/>
      <c r="C30" s="4"/>
      <c r="D30" s="4"/>
      <c r="E30" s="4"/>
      <c r="F30" s="14"/>
      <c r="G30" s="18"/>
      <c r="H30" s="18"/>
      <c r="I30" s="15" t="s">
        <v>11</v>
      </c>
      <c r="J30" s="20"/>
      <c r="K30" s="247" t="s">
        <v>43</v>
      </c>
      <c r="L30" s="84">
        <f>F$34*I31</f>
        <v>0</v>
      </c>
      <c r="M30" s="114"/>
      <c r="N30" s="249" t="s">
        <v>63</v>
      </c>
      <c r="O30" s="250">
        <f>100000*L7</f>
        <v>0</v>
      </c>
      <c r="P30" s="251">
        <f>100000*L30</f>
        <v>0</v>
      </c>
      <c r="Q30" s="250">
        <f>P30-O30</f>
        <v>0</v>
      </c>
      <c r="R30" s="90"/>
      <c r="S30" s="18"/>
      <c r="T30" s="18"/>
      <c r="U30" s="4"/>
      <c r="V30" s="4"/>
    </row>
    <row r="31" spans="1:22" ht="16.5" thickBot="1">
      <c r="A31" s="4"/>
      <c r="B31" s="4"/>
      <c r="C31" s="4"/>
      <c r="D31" s="4"/>
      <c r="E31" s="4"/>
      <c r="F31" s="14"/>
      <c r="G31" s="18"/>
      <c r="H31" s="18" t="s">
        <v>57</v>
      </c>
      <c r="I31" s="35">
        <f>(9Probabilities!D18)</f>
        <v>0</v>
      </c>
      <c r="J31" s="4"/>
      <c r="K31" s="248" t="s">
        <v>45</v>
      </c>
      <c r="L31" s="4" t="s">
        <v>63</v>
      </c>
      <c r="M31" s="95"/>
      <c r="N31" s="129" t="s">
        <v>106</v>
      </c>
      <c r="O31" s="130">
        <f>100000*L10</f>
        <v>0</v>
      </c>
      <c r="P31" s="131">
        <f>100000*L33</f>
        <v>0</v>
      </c>
      <c r="Q31" s="130">
        <f>P31-O31</f>
        <v>0</v>
      </c>
      <c r="R31" s="90"/>
      <c r="S31" s="18"/>
      <c r="T31" s="18"/>
      <c r="U31" s="4"/>
      <c r="V31" s="4"/>
    </row>
    <row r="32" spans="1:22" ht="15.75" thickBot="1">
      <c r="A32" s="4"/>
      <c r="B32" s="4"/>
      <c r="C32" s="4"/>
      <c r="D32" s="4"/>
      <c r="E32" s="4"/>
      <c r="F32" s="14"/>
      <c r="G32" s="4"/>
      <c r="H32" s="18"/>
      <c r="I32" s="14"/>
      <c r="J32" s="4"/>
      <c r="K32" s="4"/>
      <c r="L32" s="4"/>
      <c r="M32" s="114"/>
      <c r="N32" s="126" t="s">
        <v>107</v>
      </c>
      <c r="O32" s="127">
        <f>100000*L13</f>
        <v>0</v>
      </c>
      <c r="P32" s="128">
        <f>100000*L36</f>
        <v>0</v>
      </c>
      <c r="Q32" s="127">
        <f>P32-O32</f>
        <v>0</v>
      </c>
      <c r="R32" s="90"/>
      <c r="S32" s="18"/>
      <c r="T32" s="18"/>
      <c r="U32" s="4"/>
      <c r="V32" s="4"/>
    </row>
    <row r="33" spans="1:22" ht="15.75" thickBot="1">
      <c r="A33" s="4"/>
      <c r="B33" s="4"/>
      <c r="C33" s="4"/>
      <c r="D33" s="4"/>
      <c r="E33" s="4"/>
      <c r="F33" s="27" t="s">
        <v>114</v>
      </c>
      <c r="G33" s="20"/>
      <c r="H33" s="20"/>
      <c r="I33" s="15" t="s">
        <v>14</v>
      </c>
      <c r="J33" s="20"/>
      <c r="K33" s="123" t="s">
        <v>44</v>
      </c>
      <c r="L33" s="84">
        <f>F$34*I34</f>
        <v>0</v>
      </c>
      <c r="M33" s="114"/>
      <c r="N33" s="235" t="s">
        <v>5</v>
      </c>
      <c r="O33" s="236">
        <v>0</v>
      </c>
      <c r="P33" s="236">
        <v>0</v>
      </c>
      <c r="Q33" s="236">
        <v>0</v>
      </c>
      <c r="R33" s="18"/>
      <c r="S33" s="18"/>
      <c r="T33" s="18"/>
      <c r="U33" s="4"/>
      <c r="V33" s="4"/>
    </row>
    <row r="34" spans="1:22" ht="16.5" thickBot="1">
      <c r="A34" s="4"/>
      <c r="B34" s="4"/>
      <c r="C34" s="4"/>
      <c r="D34" s="4"/>
      <c r="E34" s="39" t="s">
        <v>195</v>
      </c>
      <c r="F34" s="34">
        <f>F11</f>
        <v>0.059954999999999994</v>
      </c>
      <c r="G34" s="18"/>
      <c r="H34" s="18" t="s">
        <v>60</v>
      </c>
      <c r="I34" s="35">
        <f>(9Probabilities!D20)</f>
        <v>0</v>
      </c>
      <c r="J34" s="4"/>
      <c r="K34" s="124" t="s">
        <v>46</v>
      </c>
      <c r="L34" s="4" t="s">
        <v>106</v>
      </c>
      <c r="M34" s="95"/>
      <c r="N34" s="133" t="s">
        <v>20</v>
      </c>
      <c r="O34" s="134">
        <f>SUM(O29:O32)</f>
        <v>0</v>
      </c>
      <c r="P34" s="134">
        <f>SUM(P29:P32)</f>
        <v>0</v>
      </c>
      <c r="Q34" s="134">
        <f>SUM(Q29:Q32)</f>
        <v>0</v>
      </c>
      <c r="R34" s="101" t="s">
        <v>167</v>
      </c>
      <c r="S34" s="18"/>
      <c r="T34" s="18"/>
      <c r="U34" s="4"/>
      <c r="V34" s="4"/>
    </row>
    <row r="35" spans="1:22" ht="16.5" thickBot="1">
      <c r="A35" s="4"/>
      <c r="B35" s="4"/>
      <c r="C35" s="4"/>
      <c r="D35" s="4"/>
      <c r="E35" s="4"/>
      <c r="F35" s="1"/>
      <c r="G35" s="18"/>
      <c r="H35" s="18"/>
      <c r="I35" s="14"/>
      <c r="J35" s="4"/>
      <c r="K35" s="4"/>
      <c r="L35" s="4"/>
      <c r="M35" s="114"/>
      <c r="N35" s="4"/>
      <c r="O35" s="285"/>
      <c r="P35" s="285"/>
      <c r="Q35" s="286"/>
      <c r="R35" s="92"/>
      <c r="S35" s="287" t="s">
        <v>168</v>
      </c>
      <c r="T35" s="227"/>
      <c r="U35" s="4"/>
      <c r="V35" s="4"/>
    </row>
    <row r="36" spans="1:22" ht="16.5" thickBot="1">
      <c r="A36" s="4"/>
      <c r="B36" s="4"/>
      <c r="C36" s="4"/>
      <c r="D36" s="4"/>
      <c r="E36" s="4"/>
      <c r="F36" s="18"/>
      <c r="G36" s="18"/>
      <c r="H36" s="18"/>
      <c r="I36" s="15" t="s">
        <v>12</v>
      </c>
      <c r="J36" s="20"/>
      <c r="K36" s="121" t="s">
        <v>15</v>
      </c>
      <c r="L36" s="84">
        <f>F$34*I37</f>
        <v>0</v>
      </c>
      <c r="M36" s="114"/>
      <c r="N36" s="299" t="s">
        <v>280</v>
      </c>
      <c r="O36" s="4"/>
      <c r="P36" s="4"/>
      <c r="Q36" s="4"/>
      <c r="R36" s="4"/>
      <c r="S36" s="4"/>
      <c r="T36" s="4"/>
      <c r="U36" s="4"/>
      <c r="V36" s="4"/>
    </row>
    <row r="37" spans="1:22" ht="16.5" thickBot="1">
      <c r="A37" s="4"/>
      <c r="B37" s="4"/>
      <c r="C37" s="4"/>
      <c r="D37" s="4"/>
      <c r="E37" s="4"/>
      <c r="F37" s="18"/>
      <c r="G37" s="18"/>
      <c r="H37" s="18" t="s">
        <v>59</v>
      </c>
      <c r="I37" s="35">
        <f>(9Probabilities!D22)</f>
        <v>0</v>
      </c>
      <c r="J37" s="4"/>
      <c r="K37" s="122" t="s">
        <v>47</v>
      </c>
      <c r="L37" s="4" t="s">
        <v>107</v>
      </c>
      <c r="M37" s="95"/>
      <c r="N37" s="293" t="s">
        <v>242</v>
      </c>
      <c r="O37" s="103"/>
      <c r="P37" s="103"/>
      <c r="Q37" s="92"/>
      <c r="R37" s="92"/>
      <c r="S37" s="116"/>
      <c r="T37" s="116"/>
      <c r="U37" s="4"/>
      <c r="V37" s="4"/>
    </row>
    <row r="38" spans="1:22" ht="16.5" thickBot="1">
      <c r="A38" s="4"/>
      <c r="B38" s="4"/>
      <c r="C38" s="4"/>
      <c r="D38" s="4"/>
      <c r="E38" s="4"/>
      <c r="F38" s="18"/>
      <c r="G38" s="18"/>
      <c r="H38" s="4"/>
      <c r="I38" s="14"/>
      <c r="J38" s="4"/>
      <c r="K38" s="4"/>
      <c r="L38" s="4"/>
      <c r="M38" s="95"/>
      <c r="N38" s="320" t="s">
        <v>243</v>
      </c>
      <c r="O38" s="319"/>
      <c r="P38" s="319"/>
      <c r="Q38" s="277"/>
      <c r="R38" s="92"/>
      <c r="S38" s="289" t="b">
        <f>EXACT(Q38,"yes")</f>
        <v>0</v>
      </c>
      <c r="T38" s="117"/>
      <c r="U38" s="4"/>
      <c r="V38" s="4"/>
    </row>
    <row r="39" spans="1:22" ht="16.5" thickBot="1">
      <c r="A39" s="4"/>
      <c r="B39" s="4"/>
      <c r="C39" s="4"/>
      <c r="D39" s="4"/>
      <c r="E39" s="4"/>
      <c r="F39" s="18"/>
      <c r="G39" s="18"/>
      <c r="H39" s="4"/>
      <c r="I39" s="15" t="s">
        <v>13</v>
      </c>
      <c r="J39" s="20"/>
      <c r="K39" s="23" t="s">
        <v>5</v>
      </c>
      <c r="L39" s="4"/>
      <c r="M39" s="118"/>
      <c r="N39" s="299" t="s">
        <v>281</v>
      </c>
      <c r="O39" s="92"/>
      <c r="P39" s="92"/>
      <c r="Q39" s="93"/>
      <c r="R39" s="92"/>
      <c r="S39" s="94"/>
      <c r="T39" s="119"/>
      <c r="U39" s="4"/>
      <c r="V39" s="4"/>
    </row>
    <row r="40" spans="1:22" ht="16.5" thickBot="1">
      <c r="A40" s="4"/>
      <c r="B40" s="4"/>
      <c r="C40" s="4"/>
      <c r="D40" s="4"/>
      <c r="F40" s="18"/>
      <c r="G40" s="344" t="s">
        <v>78</v>
      </c>
      <c r="H40" s="344"/>
      <c r="I40" s="38">
        <f>1-I28-I31-I34-I37</f>
        <v>1</v>
      </c>
      <c r="J40" s="4"/>
      <c r="K40" s="24"/>
      <c r="L40" s="4"/>
      <c r="M40" s="95"/>
      <c r="N40" s="294" t="s">
        <v>245</v>
      </c>
      <c r="O40" s="92"/>
      <c r="P40" s="92"/>
      <c r="Q40" s="93"/>
      <c r="R40" s="92"/>
      <c r="S40" s="94"/>
      <c r="T40" s="119"/>
      <c r="U40" s="4"/>
      <c r="V40" s="4"/>
    </row>
    <row r="41" spans="1:22" ht="16.5" thickBot="1">
      <c r="A41" s="4"/>
      <c r="B41" t="s">
        <v>112</v>
      </c>
      <c r="C41" s="4"/>
      <c r="D41" s="4"/>
      <c r="E41" s="4"/>
      <c r="F41" s="18"/>
      <c r="G41" s="18"/>
      <c r="H41" s="4"/>
      <c r="J41" s="4"/>
      <c r="K41" s="4"/>
      <c r="L41" s="4"/>
      <c r="M41" s="95"/>
      <c r="N41" s="92"/>
      <c r="O41" s="92"/>
      <c r="P41" s="92"/>
      <c r="Q41" s="291"/>
      <c r="R41" s="92"/>
      <c r="S41" s="335" t="str">
        <f>IF(AND(Q41&lt;Q34+0.5,Q41&gt;Q34-0.5),"This is Correct!","Try again.")</f>
        <v>This is Correct!</v>
      </c>
      <c r="T41" s="335"/>
      <c r="U41" s="4"/>
      <c r="V41" s="4"/>
    </row>
    <row r="42" spans="1:22" ht="15.75">
      <c r="A42" s="4"/>
      <c r="B42" s="4"/>
      <c r="C42" t="s">
        <v>169</v>
      </c>
      <c r="D42" s="4"/>
      <c r="E42" s="4"/>
      <c r="F42" s="4"/>
      <c r="G42" s="4"/>
      <c r="H42" s="4"/>
      <c r="I42" s="4"/>
      <c r="J42" s="4"/>
      <c r="K42" s="4"/>
      <c r="L42" s="4"/>
      <c r="M42" s="95"/>
      <c r="N42" s="92"/>
      <c r="O42" s="92"/>
      <c r="P42" s="92"/>
      <c r="Q42" s="93"/>
      <c r="R42" s="92"/>
      <c r="S42" s="94"/>
      <c r="T42" s="119"/>
      <c r="U42" s="4"/>
      <c r="V42" s="4"/>
    </row>
  </sheetData>
  <mergeCells count="10">
    <mergeCell ref="Q3:R3"/>
    <mergeCell ref="S41:T41"/>
    <mergeCell ref="A1:G1"/>
    <mergeCell ref="G40:H40"/>
    <mergeCell ref="N25:O25"/>
    <mergeCell ref="D22:L22"/>
    <mergeCell ref="D23:E23"/>
    <mergeCell ref="H23:I23"/>
    <mergeCell ref="N2:S2"/>
    <mergeCell ref="N3:O3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2"/>
  <sheetViews>
    <sheetView zoomScale="90" zoomScaleNormal="90" workbookViewId="0" topLeftCell="A4">
      <selection activeCell="B22" sqref="B22"/>
    </sheetView>
  </sheetViews>
  <sheetFormatPr defaultColWidth="9.140625" defaultRowHeight="12.75"/>
  <cols>
    <col min="1" max="1" width="18.7109375" style="0" customWidth="1"/>
    <col min="2" max="3" width="10.7109375" style="0" customWidth="1"/>
    <col min="4" max="4" width="11.00390625" style="0" bestFit="1" customWidth="1"/>
    <col min="5" max="5" width="11.7109375" style="0" customWidth="1"/>
    <col min="6" max="6" width="4.7109375" style="0" customWidth="1"/>
  </cols>
  <sheetData>
    <row r="1" spans="1:8" ht="12.75">
      <c r="A1" s="160" t="s">
        <v>276</v>
      </c>
      <c r="B1" s="176"/>
      <c r="C1" s="42"/>
      <c r="D1" s="4"/>
      <c r="E1" s="4"/>
      <c r="F1" s="4"/>
      <c r="G1" s="4"/>
      <c r="H1" s="4"/>
    </row>
    <row r="2" spans="1:8" ht="12.75">
      <c r="A2" s="17" t="s">
        <v>84</v>
      </c>
      <c r="B2" s="18"/>
      <c r="C2" s="71"/>
      <c r="D2" s="66" t="s">
        <v>67</v>
      </c>
      <c r="E2" s="4"/>
      <c r="F2" s="71"/>
      <c r="G2" s="4"/>
      <c r="H2" s="4"/>
    </row>
    <row r="3" spans="1:8" ht="12.75">
      <c r="A3" s="4"/>
      <c r="B3" s="18"/>
      <c r="C3" s="177"/>
      <c r="D3" s="214">
        <f>7DiscountedCost!$G$14</f>
        <v>0</v>
      </c>
      <c r="E3" s="62"/>
      <c r="F3" s="71"/>
      <c r="G3" s="4"/>
      <c r="H3" s="4"/>
    </row>
    <row r="4" spans="1:8" ht="12.75">
      <c r="A4" s="22" t="s">
        <v>86</v>
      </c>
      <c r="B4" s="18"/>
      <c r="C4" s="4"/>
      <c r="D4" s="4"/>
      <c r="E4" s="71"/>
      <c r="F4" s="71"/>
      <c r="G4" s="4"/>
      <c r="H4" s="4"/>
    </row>
    <row r="5" spans="1:8" ht="12.75">
      <c r="A5" s="225" t="s">
        <v>223</v>
      </c>
      <c r="C5" s="4"/>
      <c r="D5" s="4"/>
      <c r="E5" s="71"/>
      <c r="F5" s="71"/>
      <c r="G5" s="4"/>
      <c r="H5" s="4"/>
    </row>
    <row r="6" spans="1:8" ht="12.75">
      <c r="A6" s="168" t="s">
        <v>61</v>
      </c>
      <c r="B6" s="168"/>
      <c r="C6" s="4"/>
      <c r="D6" s="4"/>
      <c r="E6" s="71"/>
      <c r="F6" s="71"/>
      <c r="G6" s="4"/>
      <c r="H6" s="4"/>
    </row>
    <row r="7" spans="1:8" ht="12.75">
      <c r="A7" s="4"/>
      <c r="B7" s="4"/>
      <c r="C7" s="4"/>
      <c r="D7" s="57">
        <f>D17</f>
        <v>0</v>
      </c>
      <c r="E7" s="56" t="s">
        <v>54</v>
      </c>
      <c r="F7" s="71"/>
      <c r="G7" s="4"/>
      <c r="H7" s="4"/>
    </row>
    <row r="8" spans="1:8" ht="12.75">
      <c r="A8" s="4"/>
      <c r="B8" s="178" t="s">
        <v>49</v>
      </c>
      <c r="C8" s="171"/>
      <c r="E8" s="7"/>
      <c r="F8" s="71"/>
      <c r="G8" s="4"/>
      <c r="H8" s="4"/>
    </row>
    <row r="9" spans="1:8" ht="12.75">
      <c r="A9" s="18" t="s">
        <v>25</v>
      </c>
      <c r="B9" s="179" t="s">
        <v>50</v>
      </c>
      <c r="C9" s="171">
        <f>B$22/100</f>
        <v>0</v>
      </c>
      <c r="D9" s="8"/>
      <c r="E9" s="237">
        <f>C9*D9</f>
        <v>0</v>
      </c>
      <c r="F9" s="71"/>
      <c r="G9" s="4"/>
      <c r="H9" s="4"/>
    </row>
    <row r="10" spans="1:8" ht="12.75">
      <c r="A10" s="18"/>
      <c r="B10" s="180"/>
      <c r="C10" s="171"/>
      <c r="D10" s="7"/>
      <c r="E10" s="7"/>
      <c r="F10" s="71"/>
      <c r="G10" s="4"/>
      <c r="H10" s="4"/>
    </row>
    <row r="11" spans="1:8" ht="12.75">
      <c r="A11" s="4" t="s">
        <v>26</v>
      </c>
      <c r="B11" s="170">
        <v>5</v>
      </c>
      <c r="C11" s="171">
        <f>B$22/100</f>
        <v>0</v>
      </c>
      <c r="D11" s="8"/>
      <c r="E11" s="252">
        <f>C11*D11</f>
        <v>0</v>
      </c>
      <c r="F11" s="71"/>
      <c r="G11" s="168"/>
      <c r="H11" s="4"/>
    </row>
    <row r="12" spans="1:8" ht="12.75">
      <c r="A12" s="4"/>
      <c r="B12" s="170"/>
      <c r="C12" s="171"/>
      <c r="D12" s="7"/>
      <c r="E12" s="7"/>
      <c r="F12" s="71"/>
      <c r="G12" s="4"/>
      <c r="H12" s="4"/>
    </row>
    <row r="13" spans="1:8" ht="12.75">
      <c r="A13" s="4" t="s">
        <v>88</v>
      </c>
      <c r="B13" s="170">
        <v>3</v>
      </c>
      <c r="C13" s="171">
        <f>B$22/100</f>
        <v>0</v>
      </c>
      <c r="D13" s="8"/>
      <c r="E13" s="242">
        <f>C13*D13</f>
        <v>0</v>
      </c>
      <c r="F13" s="71"/>
      <c r="G13" s="168"/>
      <c r="H13" s="4"/>
    </row>
    <row r="14" spans="1:8" ht="12.75">
      <c r="A14" s="4"/>
      <c r="B14" s="170"/>
      <c r="C14" s="171"/>
      <c r="D14" s="7"/>
      <c r="E14" s="7"/>
      <c r="F14" s="71"/>
      <c r="G14" s="4"/>
      <c r="H14" s="4"/>
    </row>
    <row r="15" spans="1:8" ht="12.75">
      <c r="A15" s="4" t="s">
        <v>27</v>
      </c>
      <c r="B15" s="170">
        <v>1</v>
      </c>
      <c r="C15" s="171">
        <f>B$22/100</f>
        <v>0</v>
      </c>
      <c r="D15" s="8"/>
      <c r="E15" s="241">
        <f>C15*D15</f>
        <v>0</v>
      </c>
      <c r="F15" s="71"/>
      <c r="G15" s="168"/>
      <c r="H15" s="4"/>
    </row>
    <row r="16" spans="1:8" ht="12.75">
      <c r="A16" s="4"/>
      <c r="B16" s="170"/>
      <c r="C16" s="171"/>
      <c r="D16" s="11"/>
      <c r="E16" s="13"/>
      <c r="F16" s="71"/>
      <c r="G16" s="168"/>
      <c r="H16" s="4"/>
    </row>
    <row r="17" spans="1:8" ht="12.75">
      <c r="A17" s="75" t="s">
        <v>98</v>
      </c>
      <c r="B17" s="170"/>
      <c r="C17" s="171"/>
      <c r="D17" s="10"/>
      <c r="E17" s="13"/>
      <c r="F17" s="71"/>
      <c r="G17" s="168"/>
      <c r="H17" s="4"/>
    </row>
    <row r="18" spans="1:8" ht="12.75">
      <c r="A18" s="4"/>
      <c r="B18" s="170"/>
      <c r="C18" s="171"/>
      <c r="D18" s="69"/>
      <c r="E18" s="71"/>
      <c r="F18" s="71"/>
      <c r="G18" s="168"/>
      <c r="H18" s="4"/>
    </row>
    <row r="19" spans="1:8" ht="12.75">
      <c r="A19" s="22" t="s">
        <v>56</v>
      </c>
      <c r="B19" s="181">
        <v>100</v>
      </c>
      <c r="C19" s="182" t="s">
        <v>75</v>
      </c>
      <c r="D19" s="183" t="s">
        <v>51</v>
      </c>
      <c r="E19" s="68"/>
      <c r="F19" s="71"/>
      <c r="G19" s="168"/>
      <c r="H19" s="4"/>
    </row>
    <row r="20" spans="1:8" ht="12.75">
      <c r="A20" s="182" t="s">
        <v>52</v>
      </c>
      <c r="B20" s="44">
        <f>D17</f>
        <v>0</v>
      </c>
      <c r="C20" s="4"/>
      <c r="D20" s="4"/>
      <c r="E20" s="68"/>
      <c r="F20" s="71"/>
      <c r="G20" s="168"/>
      <c r="H20" s="4"/>
    </row>
    <row r="21" spans="1:8" ht="12.75">
      <c r="A21" s="4"/>
      <c r="B21" s="5" t="s">
        <v>53</v>
      </c>
      <c r="C21" s="4"/>
      <c r="D21" s="4"/>
      <c r="E21" s="68"/>
      <c r="F21" s="71"/>
      <c r="G21" s="168"/>
      <c r="H21" s="4"/>
    </row>
    <row r="22" spans="1:8" ht="12.75">
      <c r="A22" s="4"/>
      <c r="B22" s="9"/>
      <c r="C22" s="357" t="s">
        <v>77</v>
      </c>
      <c r="D22" s="358"/>
      <c r="E22" s="358"/>
      <c r="F22" s="71"/>
      <c r="G22" s="168"/>
      <c r="H22" s="4"/>
    </row>
    <row r="23" spans="1:8" ht="12.75">
      <c r="A23" s="4"/>
      <c r="B23" s="167" t="s">
        <v>55</v>
      </c>
      <c r="C23" s="4"/>
      <c r="D23" s="4"/>
      <c r="E23" s="71"/>
      <c r="F23" s="71"/>
      <c r="G23" s="168"/>
      <c r="H23" s="4"/>
    </row>
    <row r="24" spans="1:8" ht="15.75">
      <c r="A24" s="254" t="s">
        <v>261</v>
      </c>
      <c r="B24" s="4"/>
      <c r="C24" s="71"/>
      <c r="D24" s="71"/>
      <c r="E24" s="168"/>
      <c r="F24" s="4"/>
      <c r="G24" s="4"/>
      <c r="H24" s="4"/>
    </row>
    <row r="25" spans="1:8" ht="16.5" thickBot="1">
      <c r="A25" s="359" t="s">
        <v>246</v>
      </c>
      <c r="B25" s="359"/>
      <c r="C25" s="359"/>
      <c r="D25" s="277" t="s">
        <v>244</v>
      </c>
      <c r="E25" s="292" t="b">
        <f>EXACT(D25,"yes")</f>
        <v>1</v>
      </c>
      <c r="F25" s="71"/>
      <c r="G25" s="168"/>
      <c r="H25" s="4"/>
    </row>
    <row r="26" spans="1:8" ht="12.75">
      <c r="A26" s="4"/>
      <c r="B26" s="4"/>
      <c r="C26" s="4"/>
      <c r="D26" s="4"/>
      <c r="E26" s="4"/>
      <c r="F26" s="169"/>
      <c r="G26" s="4"/>
      <c r="H26" s="4"/>
    </row>
    <row r="27" spans="1:8" ht="12.75">
      <c r="A27" s="4"/>
      <c r="B27" s="4"/>
      <c r="C27" s="4"/>
      <c r="D27" s="4"/>
      <c r="E27" s="4"/>
      <c r="F27" s="169"/>
      <c r="G27" s="4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170"/>
      <c r="C35" s="171"/>
      <c r="D35" s="4"/>
      <c r="E35" s="4"/>
      <c r="F35" s="4"/>
      <c r="G35" s="4"/>
      <c r="H35" s="4"/>
    </row>
    <row r="36" spans="1:8" ht="12.75">
      <c r="A36" s="172"/>
      <c r="B36" s="172" t="s">
        <v>67</v>
      </c>
      <c r="C36" s="172" t="s">
        <v>68</v>
      </c>
      <c r="D36" s="4"/>
      <c r="E36" s="4"/>
      <c r="F36" s="4"/>
      <c r="G36" s="4"/>
      <c r="H36" s="4"/>
    </row>
    <row r="37" spans="1:8" ht="12.75">
      <c r="A37" s="173" t="s">
        <v>3</v>
      </c>
      <c r="B37" s="174">
        <f>D9</f>
        <v>0</v>
      </c>
      <c r="C37" s="174">
        <f>E9</f>
        <v>0</v>
      </c>
      <c r="D37" s="4"/>
      <c r="E37" s="4"/>
      <c r="F37" s="4"/>
      <c r="G37" s="4"/>
      <c r="H37" s="4"/>
    </row>
    <row r="38" spans="1:8" ht="12.75">
      <c r="A38" s="172" t="s">
        <v>11</v>
      </c>
      <c r="B38" s="174">
        <f>D11</f>
        <v>0</v>
      </c>
      <c r="C38" s="174">
        <f>E11</f>
        <v>0</v>
      </c>
      <c r="D38" s="4"/>
      <c r="E38" s="4"/>
      <c r="F38" s="4"/>
      <c r="G38" s="4"/>
      <c r="H38" s="4"/>
    </row>
    <row r="39" spans="1:8" ht="12.75">
      <c r="A39" s="172" t="s">
        <v>89</v>
      </c>
      <c r="B39" s="174">
        <f>D13</f>
        <v>0</v>
      </c>
      <c r="C39" s="174">
        <f>E13</f>
        <v>0</v>
      </c>
      <c r="D39" s="4"/>
      <c r="E39" s="4"/>
      <c r="F39" s="4"/>
      <c r="G39" s="4"/>
      <c r="H39" s="4"/>
    </row>
    <row r="40" spans="1:8" ht="12.75">
      <c r="A40" s="172" t="s">
        <v>12</v>
      </c>
      <c r="B40" s="174">
        <f>D15</f>
        <v>0</v>
      </c>
      <c r="C40" s="174">
        <f>E15</f>
        <v>0</v>
      </c>
      <c r="D40" s="4"/>
      <c r="E40" s="4"/>
      <c r="F40" s="4"/>
      <c r="G40" s="4"/>
      <c r="H40" s="4"/>
    </row>
    <row r="41" spans="1:8" ht="12.75">
      <c r="A41" s="172" t="s">
        <v>66</v>
      </c>
      <c r="B41" s="175">
        <v>0</v>
      </c>
      <c r="C41" s="175">
        <v>0</v>
      </c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 t="s">
        <v>169</v>
      </c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</sheetData>
  <mergeCells count="2">
    <mergeCell ref="C22:E22"/>
    <mergeCell ref="A25:C25"/>
  </mergeCells>
  <hyperlinks>
    <hyperlink ref="A6" r:id="rId1" display="www.nhtsa.dot.gov/people/economic/econimpact2000/appendix_a.htm "/>
    <hyperlink ref="D19" r:id="rId2" display="www.bls.gov/cpi/home.htm"/>
  </hyperlinks>
  <printOptions/>
  <pageMargins left="0.75" right="0.75" top="1" bottom="1" header="0.5" footer="0.5"/>
  <pageSetup horizontalDpi="300" verticalDpi="300" orientation="portrait" r:id="rId6"/>
  <drawing r:id="rId5"/>
  <legacyDrawing r:id="rId4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F2" sqref="F2"/>
    </sheetView>
  </sheetViews>
  <sheetFormatPr defaultColWidth="9.140625" defaultRowHeight="12.75"/>
  <cols>
    <col min="1" max="1" width="15.7109375" style="0" customWidth="1"/>
    <col min="2" max="3" width="11.7109375" style="0" customWidth="1"/>
    <col min="4" max="4" width="1.7109375" style="0" customWidth="1"/>
    <col min="5" max="6" width="11.7109375" style="0" customWidth="1"/>
  </cols>
  <sheetData>
    <row r="1" spans="1:8" ht="12.75">
      <c r="A1" s="160" t="s">
        <v>219</v>
      </c>
      <c r="B1" s="160"/>
      <c r="C1" s="41"/>
      <c r="D1" s="4"/>
      <c r="E1" s="4"/>
      <c r="F1" s="4"/>
      <c r="G1" s="77"/>
      <c r="H1" s="4"/>
    </row>
    <row r="2" spans="1:8" ht="12.75">
      <c r="A2" s="22" t="s">
        <v>21</v>
      </c>
      <c r="B2" s="4"/>
      <c r="C2" s="142">
        <f>3LifeCare!C24</f>
        <v>0</v>
      </c>
      <c r="D2" s="4"/>
      <c r="E2" s="4"/>
      <c r="F2" s="4"/>
      <c r="G2" s="77"/>
      <c r="H2" s="4"/>
    </row>
    <row r="3" spans="1:8" ht="12.75">
      <c r="A3" s="4" t="s">
        <v>24</v>
      </c>
      <c r="B3" s="4"/>
      <c r="C3" s="4"/>
      <c r="D3" s="4"/>
      <c r="E3" s="4"/>
      <c r="F3" s="4"/>
      <c r="G3" s="77"/>
      <c r="H3" s="4"/>
    </row>
    <row r="4" spans="1:8" ht="12.75">
      <c r="A4" s="22" t="s">
        <v>22</v>
      </c>
      <c r="B4" s="4"/>
      <c r="C4" s="224">
        <f>3LifeCare!C25</f>
        <v>0</v>
      </c>
      <c r="D4" s="4" t="s">
        <v>23</v>
      </c>
      <c r="E4" s="4"/>
      <c r="F4" s="4"/>
      <c r="G4" s="4"/>
      <c r="H4" s="4"/>
    </row>
    <row r="5" spans="1:8" ht="12.75">
      <c r="A5" s="19"/>
      <c r="B5" s="348" t="s">
        <v>29</v>
      </c>
      <c r="C5" s="348"/>
      <c r="D5" s="4"/>
      <c r="E5" s="348" t="s">
        <v>151</v>
      </c>
      <c r="F5" s="348"/>
      <c r="G5" s="4"/>
      <c r="H5" s="4"/>
    </row>
    <row r="6" spans="1:8" ht="12.75">
      <c r="A6" s="19" t="s">
        <v>28</v>
      </c>
      <c r="B6" s="50">
        <v>0</v>
      </c>
      <c r="C6" s="50">
        <f>C2</f>
        <v>0</v>
      </c>
      <c r="D6" s="4"/>
      <c r="E6" s="185" t="s">
        <v>121</v>
      </c>
      <c r="F6" s="161" t="s">
        <v>72</v>
      </c>
      <c r="G6" s="4"/>
      <c r="H6" s="4"/>
    </row>
    <row r="7" spans="1:8" ht="12.75">
      <c r="A7" s="4" t="s">
        <v>19</v>
      </c>
      <c r="B7" s="137">
        <f>7DiscountedCost!$G$14</f>
        <v>0</v>
      </c>
      <c r="C7" s="31">
        <f>B7</f>
        <v>0</v>
      </c>
      <c r="D7" s="4"/>
      <c r="E7" s="137">
        <f>7DiscountedCost!$G$14</f>
        <v>0</v>
      </c>
      <c r="F7" s="137">
        <f>7DiscountedCost!$G$14</f>
        <v>0</v>
      </c>
      <c r="G7" s="4"/>
      <c r="H7" s="4"/>
    </row>
    <row r="8" spans="1:8" ht="12.75">
      <c r="A8" s="4" t="s">
        <v>3</v>
      </c>
      <c r="B8" s="238">
        <f>-'11Schedule'!E9*('10InjuriesAverted'!L27-'10InjuriesAverted'!L4)*$C$4</f>
        <v>0</v>
      </c>
      <c r="C8" s="238" t="e">
        <f>-('11Schedule'!$E$9*('10InjuriesAverted'!$L27-'10InjuriesAverted'!$L4)*(1/$C$6-(1/($C$6*POWER(1+$C$6,$C$4)))))</f>
        <v>#DIV/0!</v>
      </c>
      <c r="D8" s="4"/>
      <c r="E8" s="7"/>
      <c r="F8" s="7"/>
      <c r="G8" s="4"/>
      <c r="H8" s="4"/>
    </row>
    <row r="9" spans="1:8" ht="12.75">
      <c r="A9" s="4" t="s">
        <v>11</v>
      </c>
      <c r="B9" s="253">
        <f>-'11Schedule'!E11*('10InjuriesAverted'!L30-'10InjuriesAverted'!L7)*$C$4</f>
        <v>0</v>
      </c>
      <c r="C9" s="253" t="e">
        <f>-('11Schedule'!$E$11*('10InjuriesAverted'!$L30-'10InjuriesAverted'!$L7)*(1/$C$6-(1/($C$6*POWER(1+$C$6,$C$4)))))</f>
        <v>#DIV/0!</v>
      </c>
      <c r="D9" s="4"/>
      <c r="E9" s="252">
        <f>-7InjuryCost!D25</f>
        <v>0</v>
      </c>
      <c r="F9" s="252">
        <f>-7InjuryCost!E25</f>
        <v>0</v>
      </c>
      <c r="G9" s="4"/>
      <c r="H9" s="4"/>
    </row>
    <row r="10" spans="1:8" ht="12.75">
      <c r="A10" s="4" t="s">
        <v>14</v>
      </c>
      <c r="B10" s="243">
        <f>-'11Schedule'!E13*('10InjuriesAverted'!L33-'10InjuriesAverted'!L10)*$C$4</f>
        <v>0</v>
      </c>
      <c r="C10" s="243" t="e">
        <f>-('11Schedule'!$E$13*('10InjuriesAverted'!$L33-'10InjuriesAverted'!$L10)*(1/$C$6-(1/($C$6*POWER(1+$C$6,$C$4)))))</f>
        <v>#DIV/0!</v>
      </c>
      <c r="D10" s="4"/>
      <c r="E10" s="7"/>
      <c r="F10" s="7"/>
      <c r="G10" s="4"/>
      <c r="H10" s="4"/>
    </row>
    <row r="11" spans="1:8" ht="13.5" thickBot="1">
      <c r="A11" s="4" t="s">
        <v>12</v>
      </c>
      <c r="B11" s="258">
        <f>-'11Schedule'!E15*('10InjuriesAverted'!L36-'10InjuriesAverted'!L13)*$C$4</f>
        <v>0</v>
      </c>
      <c r="C11" s="258" t="e">
        <f>-('11Schedule'!$E$15*('10InjuriesAverted'!$L36-'10InjuriesAverted'!$L13)*(1/$C$6-(1/($C$6*POWER(1+$C$6,$C$4)))))</f>
        <v>#DIV/0!</v>
      </c>
      <c r="D11" s="4"/>
      <c r="E11" s="29"/>
      <c r="F11" s="29"/>
      <c r="G11" s="4"/>
      <c r="H11" s="4"/>
    </row>
    <row r="12" spans="1:8" ht="12.75">
      <c r="A12" s="4" t="s">
        <v>31</v>
      </c>
      <c r="B12" s="71">
        <f>SUM(B7:B11)</f>
        <v>0</v>
      </c>
      <c r="C12" s="71" t="e">
        <f>SUM(C7:C11)</f>
        <v>#DIV/0!</v>
      </c>
      <c r="D12" s="4"/>
      <c r="E12" s="71">
        <f>SUM(E7:E11)</f>
        <v>0</v>
      </c>
      <c r="F12" s="71">
        <f>SUM(F7:F11)</f>
        <v>0</v>
      </c>
      <c r="G12" s="4"/>
      <c r="H12" s="4"/>
    </row>
    <row r="13" spans="1:8" ht="12.75">
      <c r="A13" s="4"/>
      <c r="B13" s="186"/>
      <c r="C13" s="186"/>
      <c r="D13" s="4"/>
      <c r="E13" s="4"/>
      <c r="F13" s="4"/>
      <c r="G13" s="4"/>
      <c r="H13" s="4"/>
    </row>
    <row r="14" spans="1:8" ht="12.75">
      <c r="A14" s="19" t="s">
        <v>30</v>
      </c>
      <c r="B14" s="4"/>
      <c r="C14" s="4"/>
      <c r="D14" s="4"/>
      <c r="E14" s="4"/>
      <c r="F14" s="4"/>
      <c r="G14" s="4"/>
      <c r="H14" s="4"/>
    </row>
    <row r="15" spans="1:8" ht="12.75">
      <c r="A15" s="4" t="s">
        <v>3</v>
      </c>
      <c r="B15" s="239">
        <f>('10InjuriesAverted'!L27-'10InjuriesAverted'!L4)*$C$4</f>
        <v>0</v>
      </c>
      <c r="C15" s="240" t="e">
        <f>('10InjuriesAverted'!L27-'10InjuriesAverted'!L4)*(1/$C$6-(1/($C$6*(POWER(1+$C$6,$C$4)))))</f>
        <v>#DIV/0!</v>
      </c>
      <c r="D15" s="4"/>
      <c r="E15" s="4"/>
      <c r="F15" s="4"/>
      <c r="G15" s="4"/>
      <c r="H15" s="4"/>
    </row>
    <row r="16" spans="1:8" ht="12.75">
      <c r="A16" s="4" t="s">
        <v>11</v>
      </c>
      <c r="B16" s="256">
        <f>('10InjuriesAverted'!L30-'10InjuriesAverted'!L7)*$C$4</f>
        <v>0</v>
      </c>
      <c r="C16" s="257" t="e">
        <f>('10InjuriesAverted'!L30-'10InjuriesAverted'!L7)*(1/$C$6-(1/($C$6*(POWER(1+$C$6,$C$4)))))</f>
        <v>#DIV/0!</v>
      </c>
      <c r="D16" s="4"/>
      <c r="E16" s="255">
        <v>1</v>
      </c>
      <c r="F16" s="255">
        <v>1</v>
      </c>
      <c r="G16" s="4"/>
      <c r="H16" s="4"/>
    </row>
    <row r="17" spans="1:8" ht="12.75">
      <c r="A17" s="4" t="s">
        <v>14</v>
      </c>
      <c r="B17" s="244">
        <f>('10InjuriesAverted'!L33-'10InjuriesAverted'!L10)*$C$4</f>
        <v>0</v>
      </c>
      <c r="C17" s="245" t="e">
        <f>('10InjuriesAverted'!L30-'10InjuriesAverted'!L10)*(1/$C$6-(1/($C$6*(POWER(1+$C$6,$C$4)))))</f>
        <v>#DIV/0!</v>
      </c>
      <c r="D17" s="4"/>
      <c r="E17" s="4"/>
      <c r="F17" s="4"/>
      <c r="G17" s="4"/>
      <c r="H17" s="4"/>
    </row>
    <row r="18" spans="1:8" ht="13.5" thickBot="1">
      <c r="A18" s="4" t="s">
        <v>12</v>
      </c>
      <c r="B18" s="259">
        <f>('10InjuriesAverted'!L36-'10InjuriesAverted'!L13)*$C$4</f>
        <v>0</v>
      </c>
      <c r="C18" s="260" t="e">
        <f>('10InjuriesAverted'!L36-'10InjuriesAverted'!L13)*(1/$C$6-(1/($C$6*(POWER(1+$C$6,$C$4)))))</f>
        <v>#DIV/0!</v>
      </c>
      <c r="D18" s="4"/>
      <c r="E18" s="20"/>
      <c r="F18" s="20"/>
      <c r="G18" s="4"/>
      <c r="H18" s="4"/>
    </row>
    <row r="19" spans="1:8" ht="12.75">
      <c r="A19" s="4" t="s">
        <v>20</v>
      </c>
      <c r="B19" s="184">
        <f>SUM(B15:B18)</f>
        <v>0</v>
      </c>
      <c r="C19" s="184" t="e">
        <f>SUM(C15:C18)</f>
        <v>#DIV/0!</v>
      </c>
      <c r="D19" s="4"/>
      <c r="E19" s="149">
        <f>SUM(E15:E18)</f>
        <v>1</v>
      </c>
      <c r="F19" s="149">
        <f>SUM(F15:F18)</f>
        <v>1</v>
      </c>
      <c r="G19" s="4"/>
      <c r="H19" s="4"/>
    </row>
    <row r="20" spans="1:8" ht="15.75">
      <c r="A20" s="299" t="s">
        <v>262</v>
      </c>
      <c r="B20" s="4"/>
      <c r="C20" s="4"/>
      <c r="D20" s="4"/>
      <c r="E20" s="4"/>
      <c r="F20" s="4"/>
      <c r="G20" s="4"/>
      <c r="H20" s="4"/>
    </row>
    <row r="21" spans="1:8" ht="16.5" thickBot="1">
      <c r="A21" s="293" t="s">
        <v>247</v>
      </c>
      <c r="B21" s="174"/>
      <c r="C21" s="71"/>
      <c r="D21" s="4"/>
      <c r="E21" s="4"/>
      <c r="F21" s="277" t="s">
        <v>244</v>
      </c>
      <c r="G21" s="284" t="b">
        <f>EXACT(F21,"yes")</f>
        <v>1</v>
      </c>
      <c r="H21" s="4"/>
    </row>
    <row r="22" spans="1:8" ht="15.75">
      <c r="A22" s="254" t="s">
        <v>263</v>
      </c>
      <c r="B22" s="4"/>
      <c r="C22" s="4"/>
      <c r="D22" s="4"/>
      <c r="E22" s="4"/>
      <c r="F22" s="4"/>
      <c r="G22" s="4"/>
      <c r="H22" s="4"/>
    </row>
    <row r="23" spans="1:8" ht="16.5" thickBot="1">
      <c r="A23" s="295" t="s">
        <v>248</v>
      </c>
      <c r="B23" s="4"/>
      <c r="C23" s="4"/>
      <c r="D23" s="4"/>
      <c r="E23" s="4"/>
      <c r="F23" s="277" t="s">
        <v>244</v>
      </c>
      <c r="G23" s="284" t="b">
        <f>EXACT(F23,"yes")</f>
        <v>1</v>
      </c>
      <c r="H23" s="4"/>
    </row>
    <row r="24" spans="1:8" ht="15.75">
      <c r="A24" s="19"/>
      <c r="B24" s="4"/>
      <c r="C24" s="4"/>
      <c r="D24" s="4"/>
      <c r="E24" s="4"/>
      <c r="F24" s="290"/>
      <c r="G24" s="284"/>
      <c r="H24" s="4"/>
    </row>
    <row r="25" spans="1:8" ht="12.75">
      <c r="A25" s="172" t="str">
        <f>A7</f>
        <v>Intervention</v>
      </c>
      <c r="B25" s="164"/>
      <c r="C25" s="165">
        <f>B6</f>
        <v>0</v>
      </c>
      <c r="D25" s="165">
        <f>C6</f>
        <v>0</v>
      </c>
      <c r="E25" s="4"/>
      <c r="F25" s="4"/>
      <c r="G25" s="4"/>
      <c r="H25" s="4"/>
    </row>
    <row r="26" spans="1:8" ht="12.75">
      <c r="A26" s="172" t="str">
        <f>A8</f>
        <v>Death</v>
      </c>
      <c r="B26" s="164" t="str">
        <f>A7</f>
        <v>Intervention</v>
      </c>
      <c r="C26" s="166">
        <f aca="true" t="shared" si="0" ref="C26:D30">-B7</f>
        <v>0</v>
      </c>
      <c r="D26" s="166">
        <f t="shared" si="0"/>
        <v>0</v>
      </c>
      <c r="E26" s="4"/>
      <c r="F26" s="4"/>
      <c r="G26" s="4"/>
      <c r="H26" s="4"/>
    </row>
    <row r="27" spans="1:8" ht="12.75">
      <c r="A27" s="172" t="str">
        <f>A9</f>
        <v>Disability</v>
      </c>
      <c r="B27" s="164" t="str">
        <f>A8</f>
        <v>Death</v>
      </c>
      <c r="C27" s="166">
        <f t="shared" si="0"/>
        <v>0</v>
      </c>
      <c r="D27" s="166" t="e">
        <f t="shared" si="0"/>
        <v>#DIV/0!</v>
      </c>
      <c r="E27" s="4"/>
      <c r="F27" s="4"/>
      <c r="G27" s="4"/>
      <c r="H27" s="4"/>
    </row>
    <row r="28" spans="1:8" ht="12.75">
      <c r="A28" s="172" t="str">
        <f>A10</f>
        <v>Hospitalized</v>
      </c>
      <c r="B28" s="164" t="str">
        <f>A9</f>
        <v>Disability</v>
      </c>
      <c r="C28" s="166">
        <f t="shared" si="0"/>
        <v>0</v>
      </c>
      <c r="D28" s="166" t="e">
        <f t="shared" si="0"/>
        <v>#DIV/0!</v>
      </c>
      <c r="E28" s="4"/>
      <c r="F28" s="4"/>
      <c r="G28" s="4"/>
      <c r="H28" s="4"/>
    </row>
    <row r="29" spans="1:8" ht="12.75">
      <c r="A29" s="172" t="str">
        <f>A11</f>
        <v>Outpatient</v>
      </c>
      <c r="B29" s="164" t="str">
        <f>A10</f>
        <v>Hospitalized</v>
      </c>
      <c r="C29" s="166">
        <f t="shared" si="0"/>
        <v>0</v>
      </c>
      <c r="D29" s="166" t="e">
        <f t="shared" si="0"/>
        <v>#DIV/0!</v>
      </c>
      <c r="E29" s="4"/>
      <c r="F29" s="4"/>
      <c r="G29" s="4"/>
      <c r="H29" s="4"/>
    </row>
    <row r="30" spans="1:8" ht="12.75">
      <c r="A30" s="4"/>
      <c r="B30" s="164" t="str">
        <f>A11</f>
        <v>Outpatient</v>
      </c>
      <c r="C30" s="166">
        <f t="shared" si="0"/>
        <v>0</v>
      </c>
      <c r="D30" s="166" t="e">
        <f t="shared" si="0"/>
        <v>#DIV/0!</v>
      </c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 t="s">
        <v>169</v>
      </c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</sheetData>
  <mergeCells count="2">
    <mergeCell ref="E5:F5"/>
    <mergeCell ref="B5:C5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G22" sqref="G22"/>
    </sheetView>
  </sheetViews>
  <sheetFormatPr defaultColWidth="9.140625" defaultRowHeight="12.75"/>
  <cols>
    <col min="1" max="1" width="22.7109375" style="0" customWidth="1"/>
    <col min="2" max="2" width="11.7109375" style="0" customWidth="1"/>
    <col min="3" max="3" width="11.7109375" style="0" hidden="1" customWidth="1"/>
    <col min="4" max="4" width="3.7109375" style="0" customWidth="1"/>
    <col min="5" max="6" width="11.7109375" style="0" customWidth="1"/>
  </cols>
  <sheetData>
    <row r="1" spans="1:9" ht="12.75">
      <c r="A1" s="160" t="s">
        <v>277</v>
      </c>
      <c r="B1" s="4"/>
      <c r="C1" s="4"/>
      <c r="D1" s="4"/>
      <c r="E1" s="4"/>
      <c r="F1" s="4"/>
      <c r="G1" s="4"/>
      <c r="H1" s="4"/>
      <c r="I1" s="4"/>
    </row>
    <row r="2" spans="1:9" ht="12.75">
      <c r="A2" s="75"/>
      <c r="B2" s="362" t="s">
        <v>270</v>
      </c>
      <c r="C2" s="362"/>
      <c r="D2" s="4"/>
      <c r="E2" s="4"/>
      <c r="F2" s="4"/>
      <c r="G2" s="4"/>
      <c r="H2" s="4"/>
      <c r="I2" s="4"/>
    </row>
    <row r="3" spans="1:9" ht="12.75">
      <c r="A3" s="19"/>
      <c r="B3" s="348" t="s">
        <v>271</v>
      </c>
      <c r="C3" s="348"/>
      <c r="D3" s="4"/>
      <c r="E3" s="325" t="s">
        <v>151</v>
      </c>
      <c r="F3" s="325"/>
      <c r="G3" s="4"/>
      <c r="H3" s="4"/>
      <c r="I3" s="4"/>
    </row>
    <row r="4" spans="1:9" ht="12.75">
      <c r="A4" s="19" t="s">
        <v>28</v>
      </c>
      <c r="B4" s="306"/>
      <c r="C4" s="132">
        <f>'17Discounting'!C2</f>
        <v>0</v>
      </c>
      <c r="D4" s="4"/>
      <c r="E4" s="47" t="s">
        <v>121</v>
      </c>
      <c r="F4" s="47" t="s">
        <v>72</v>
      </c>
      <c r="G4" s="4"/>
      <c r="H4" s="4"/>
      <c r="I4" s="4"/>
    </row>
    <row r="5" spans="1:9" ht="12.75">
      <c r="A5" s="4" t="s">
        <v>19</v>
      </c>
      <c r="B5" s="137">
        <f>7DiscountedCost!$G$14</f>
        <v>0</v>
      </c>
      <c r="C5" s="137">
        <f>7DiscountedCost!$G$14</f>
        <v>0</v>
      </c>
      <c r="D5" s="4"/>
      <c r="E5" s="137">
        <f>7DiscountedCost!$G$14</f>
        <v>0</v>
      </c>
      <c r="F5" s="137">
        <f>7DiscountedCost!$G$14</f>
        <v>0</v>
      </c>
      <c r="G5" s="4"/>
      <c r="H5" s="4"/>
      <c r="I5" s="4"/>
    </row>
    <row r="6" spans="1:9" ht="12.75">
      <c r="A6" s="4" t="s">
        <v>3</v>
      </c>
      <c r="B6" s="237">
        <f>'17Discounting'!B8</f>
        <v>0</v>
      </c>
      <c r="C6" s="237" t="e">
        <f>'17Discounting'!C8</f>
        <v>#DIV/0!</v>
      </c>
      <c r="D6" s="4"/>
      <c r="E6" s="71"/>
      <c r="F6" s="71"/>
      <c r="G6" s="4"/>
      <c r="H6" s="4"/>
      <c r="I6" s="4"/>
    </row>
    <row r="7" spans="1:9" ht="12.75">
      <c r="A7" s="4" t="s">
        <v>11</v>
      </c>
      <c r="B7" s="252">
        <f>'17Discounting'!B9</f>
        <v>0</v>
      </c>
      <c r="C7" s="252" t="e">
        <f>'17Discounting'!C9</f>
        <v>#DIV/0!</v>
      </c>
      <c r="D7" s="4"/>
      <c r="E7" s="252">
        <f>7InjuryCost!D25</f>
        <v>0</v>
      </c>
      <c r="F7" s="252">
        <f>7InjuryCost!E25</f>
        <v>0</v>
      </c>
      <c r="G7" s="4"/>
      <c r="H7" s="4"/>
      <c r="I7" s="4"/>
    </row>
    <row r="8" spans="1:9" ht="12.75">
      <c r="A8" s="4" t="s">
        <v>14</v>
      </c>
      <c r="B8" s="242">
        <f>'17Discounting'!B10</f>
        <v>0</v>
      </c>
      <c r="C8" s="242" t="e">
        <f>'17Discounting'!C10</f>
        <v>#DIV/0!</v>
      </c>
      <c r="D8" s="4"/>
      <c r="E8" s="4"/>
      <c r="F8" s="4"/>
      <c r="G8" s="4"/>
      <c r="H8" s="4"/>
      <c r="I8" s="4"/>
    </row>
    <row r="9" spans="1:9" ht="13.5" thickBot="1">
      <c r="A9" s="4" t="s">
        <v>12</v>
      </c>
      <c r="B9" s="261">
        <f>'17Discounting'!B11</f>
        <v>0</v>
      </c>
      <c r="C9" s="261" t="e">
        <f>'17Discounting'!C11</f>
        <v>#DIV/0!</v>
      </c>
      <c r="D9" s="4"/>
      <c r="E9" s="187"/>
      <c r="F9" s="187"/>
      <c r="G9" s="4"/>
      <c r="H9" s="4"/>
      <c r="I9" s="4"/>
    </row>
    <row r="10" spans="1:9" ht="12.75">
      <c r="A10" s="4" t="s">
        <v>31</v>
      </c>
      <c r="B10" s="71">
        <f>'17Discounting'!B12</f>
        <v>0</v>
      </c>
      <c r="C10" s="71" t="e">
        <f>'17Discounting'!C12</f>
        <v>#DIV/0!</v>
      </c>
      <c r="D10" s="4"/>
      <c r="E10" s="71">
        <f>SUM(E5:E9)</f>
        <v>0</v>
      </c>
      <c r="F10" s="71">
        <f>SUM(F5:F9)</f>
        <v>0</v>
      </c>
      <c r="G10" s="4"/>
      <c r="H10" s="4"/>
      <c r="I10" s="4"/>
    </row>
    <row r="11" spans="1:9" ht="12.75">
      <c r="A11" s="19" t="s">
        <v>30</v>
      </c>
      <c r="B11" s="4"/>
      <c r="C11" s="4"/>
      <c r="D11" s="4"/>
      <c r="E11" s="4"/>
      <c r="F11" s="4"/>
      <c r="G11" s="4"/>
      <c r="H11" s="4"/>
      <c r="I11" s="4"/>
    </row>
    <row r="12" spans="1:9" ht="12.75">
      <c r="A12" s="4" t="s">
        <v>3</v>
      </c>
      <c r="B12" s="239">
        <f>'17Discounting'!B15</f>
        <v>0</v>
      </c>
      <c r="C12" s="239" t="e">
        <f>'17Discounting'!C15</f>
        <v>#DIV/0!</v>
      </c>
      <c r="D12" s="4"/>
      <c r="E12" s="4"/>
      <c r="F12" s="4"/>
      <c r="G12" s="4"/>
      <c r="H12" s="4"/>
      <c r="I12" s="4"/>
    </row>
    <row r="13" spans="1:9" ht="12.75">
      <c r="A13" s="4" t="s">
        <v>11</v>
      </c>
      <c r="B13" s="256">
        <f>'17Discounting'!B16</f>
        <v>0</v>
      </c>
      <c r="C13" s="256" t="e">
        <f>'17Discounting'!C16</f>
        <v>#DIV/0!</v>
      </c>
      <c r="D13" s="4"/>
      <c r="E13" s="255">
        <v>1</v>
      </c>
      <c r="F13" s="255">
        <v>1</v>
      </c>
      <c r="G13" s="4"/>
      <c r="H13" s="4"/>
      <c r="I13" s="4"/>
    </row>
    <row r="14" spans="1:9" ht="12.75">
      <c r="A14" s="4" t="s">
        <v>14</v>
      </c>
      <c r="B14" s="244">
        <f>'17Discounting'!B17</f>
        <v>0</v>
      </c>
      <c r="C14" s="244" t="e">
        <f>'17Discounting'!C17</f>
        <v>#DIV/0!</v>
      </c>
      <c r="D14" s="4"/>
      <c r="E14" s="4"/>
      <c r="F14" s="4"/>
      <c r="G14" s="4"/>
      <c r="H14" s="4"/>
      <c r="I14" s="4"/>
    </row>
    <row r="15" spans="1:9" ht="13.5" thickBot="1">
      <c r="A15" s="4" t="s">
        <v>12</v>
      </c>
      <c r="B15" s="259">
        <f>'17Discounting'!B18</f>
        <v>0</v>
      </c>
      <c r="C15" s="259" t="e">
        <f>'17Discounting'!C18</f>
        <v>#DIV/0!</v>
      </c>
      <c r="D15" s="4"/>
      <c r="E15" s="20"/>
      <c r="F15" s="20"/>
      <c r="G15" s="4"/>
      <c r="H15" s="4"/>
      <c r="I15" s="4"/>
    </row>
    <row r="16" spans="1:9" ht="12.75">
      <c r="A16" s="4" t="s">
        <v>105</v>
      </c>
      <c r="B16" s="184">
        <f>SUM(B12:B15)</f>
        <v>0</v>
      </c>
      <c r="C16" s="184" t="e">
        <f>SUM(C12:C15)</f>
        <v>#DIV/0!</v>
      </c>
      <c r="D16" s="4"/>
      <c r="E16" s="149">
        <f>SUM(E12:E15)</f>
        <v>1</v>
      </c>
      <c r="F16" s="149">
        <f>SUM(F12:F15)</f>
        <v>1</v>
      </c>
      <c r="G16" s="4"/>
      <c r="H16" s="4"/>
      <c r="I16" s="4"/>
    </row>
    <row r="17" spans="1:9" ht="12.75">
      <c r="A17" s="4"/>
      <c r="B17" s="4"/>
      <c r="C17" s="4"/>
      <c r="D17" s="4"/>
      <c r="E17" s="4"/>
      <c r="F17" s="4"/>
      <c r="G17" s="4"/>
      <c r="H17" s="4"/>
      <c r="I17" s="4"/>
    </row>
    <row r="18" spans="1:9" ht="12.75">
      <c r="A18" s="19" t="s">
        <v>90</v>
      </c>
      <c r="B18" s="28" t="e">
        <f>B10/B16</f>
        <v>#DIV/0!</v>
      </c>
      <c r="C18" s="28" t="e">
        <f>C10/C16</f>
        <v>#DIV/0!</v>
      </c>
      <c r="D18" s="4"/>
      <c r="E18" s="28">
        <f>-E10/E16</f>
        <v>0</v>
      </c>
      <c r="F18" s="28">
        <f>-F10/F16</f>
        <v>0</v>
      </c>
      <c r="G18" s="4"/>
      <c r="H18" s="4"/>
      <c r="I18" s="4"/>
    </row>
    <row r="19" spans="1:9" ht="12.75">
      <c r="A19" s="327" t="s">
        <v>32</v>
      </c>
      <c r="B19" s="327"/>
      <c r="C19" s="327"/>
      <c r="D19" s="327"/>
      <c r="E19" s="326" t="s">
        <v>32</v>
      </c>
      <c r="F19" s="326"/>
      <c r="G19" s="4"/>
      <c r="H19" s="4"/>
      <c r="I19" s="4"/>
    </row>
    <row r="20" spans="1:9" ht="15.75" thickBot="1">
      <c r="A20" s="361" t="s">
        <v>291</v>
      </c>
      <c r="B20" s="360"/>
      <c r="C20" s="360"/>
      <c r="D20" s="360"/>
      <c r="E20" s="360"/>
      <c r="F20" s="360"/>
      <c r="G20" s="321"/>
      <c r="H20" s="322" t="b">
        <f>EXACT(G20,"savings")</f>
        <v>0</v>
      </c>
      <c r="I20" s="4"/>
    </row>
    <row r="21" spans="1:9" ht="15">
      <c r="A21" s="324" t="s">
        <v>292</v>
      </c>
      <c r="B21" s="324"/>
      <c r="C21" s="324"/>
      <c r="D21" s="324"/>
      <c r="E21" s="324"/>
      <c r="F21" s="324"/>
      <c r="G21" s="324"/>
      <c r="H21" s="324"/>
      <c r="I21" s="42"/>
    </row>
    <row r="22" spans="1:9" ht="15.75" thickBot="1">
      <c r="A22" s="360" t="s">
        <v>249</v>
      </c>
      <c r="B22" s="360"/>
      <c r="C22" s="360"/>
      <c r="D22" s="360"/>
      <c r="E22" s="360"/>
      <c r="F22" s="360"/>
      <c r="G22" s="323"/>
      <c r="H22" s="322" t="b">
        <f>EXACT(G22,"no")</f>
        <v>0</v>
      </c>
      <c r="I22" s="4"/>
    </row>
    <row r="23" spans="1:9" ht="12.75">
      <c r="A23" s="4"/>
      <c r="B23" s="4"/>
      <c r="C23" s="4"/>
      <c r="D23" s="4"/>
      <c r="E23" s="4"/>
      <c r="F23" s="4"/>
      <c r="G23" s="4"/>
      <c r="H23" s="4"/>
      <c r="I23" s="4"/>
    </row>
    <row r="24" spans="1:9" ht="12.75">
      <c r="A24" s="4"/>
      <c r="B24" s="4"/>
      <c r="C24" s="4"/>
      <c r="D24" s="4"/>
      <c r="E24" s="172"/>
      <c r="F24" s="172"/>
      <c r="G24" s="172"/>
      <c r="H24" s="172"/>
      <c r="I24" s="4"/>
    </row>
    <row r="25" spans="1:9" ht="12.75">
      <c r="A25" s="4"/>
      <c r="B25" s="310"/>
      <c r="C25" s="310"/>
      <c r="D25" s="310"/>
      <c r="E25" s="311" t="s">
        <v>270</v>
      </c>
      <c r="F25" s="311" t="str">
        <f>E4</f>
        <v>Household</v>
      </c>
      <c r="G25" s="311" t="str">
        <f>F4</f>
        <v>Society</v>
      </c>
      <c r="H25" s="172"/>
      <c r="I25" s="4"/>
    </row>
    <row r="26" spans="1:9" ht="12.75">
      <c r="A26" s="4"/>
      <c r="B26" s="310"/>
      <c r="C26" s="310"/>
      <c r="D26" s="310"/>
      <c r="E26" s="174" t="e">
        <f>-B18</f>
        <v>#DIV/0!</v>
      </c>
      <c r="F26" s="174">
        <f>-E18</f>
        <v>0</v>
      </c>
      <c r="G26" s="174">
        <f>-F18</f>
        <v>0</v>
      </c>
      <c r="H26" s="172"/>
      <c r="I26" s="4"/>
    </row>
    <row r="27" spans="1:9" ht="12.75">
      <c r="A27" s="4"/>
      <c r="B27" s="310"/>
      <c r="C27" s="310"/>
      <c r="D27" s="310"/>
      <c r="E27" s="310"/>
      <c r="F27" s="310"/>
      <c r="G27" s="310"/>
      <c r="H27" s="310"/>
      <c r="I27" s="4"/>
    </row>
    <row r="28" spans="1:9" ht="12.75">
      <c r="A28" s="4"/>
      <c r="B28" s="4"/>
      <c r="C28" s="4"/>
      <c r="D28" s="4"/>
      <c r="E28" s="4"/>
      <c r="F28" s="4"/>
      <c r="G28" s="4"/>
      <c r="H28" s="4"/>
      <c r="I28" s="4"/>
    </row>
    <row r="29" spans="1:9" ht="12.75">
      <c r="A29" s="4"/>
      <c r="B29" s="4"/>
      <c r="C29" s="4"/>
      <c r="D29" s="4"/>
      <c r="E29" s="4"/>
      <c r="F29" s="4"/>
      <c r="G29" s="4"/>
      <c r="H29" s="4"/>
      <c r="I29" s="4"/>
    </row>
    <row r="30" spans="1:9" ht="12.75">
      <c r="A30" s="4"/>
      <c r="B30" s="4"/>
      <c r="C30" s="4"/>
      <c r="D30" s="4"/>
      <c r="E30" s="4"/>
      <c r="F30" s="4"/>
      <c r="G30" s="4"/>
      <c r="H30" s="4"/>
      <c r="I30" s="4"/>
    </row>
    <row r="31" spans="1:9" ht="12.75">
      <c r="A31" s="4"/>
      <c r="B31" s="4"/>
      <c r="C31" s="4"/>
      <c r="D31" s="4"/>
      <c r="E31" s="4"/>
      <c r="F31" s="4"/>
      <c r="G31" s="4"/>
      <c r="H31" s="4"/>
      <c r="I31" s="4"/>
    </row>
    <row r="32" spans="1:9" ht="12.75">
      <c r="A32" s="4"/>
      <c r="B32" s="4"/>
      <c r="C32" s="4"/>
      <c r="D32" s="4"/>
      <c r="E32" s="4"/>
      <c r="F32" s="4"/>
      <c r="G32" s="4"/>
      <c r="H32" s="4"/>
      <c r="I32" s="4"/>
    </row>
    <row r="33" spans="1:9" ht="12.75">
      <c r="A33" s="4"/>
      <c r="B33" s="4"/>
      <c r="C33" s="4"/>
      <c r="D33" s="4"/>
      <c r="E33" s="4"/>
      <c r="F33" s="4"/>
      <c r="G33" s="4"/>
      <c r="H33" s="4"/>
      <c r="I33" s="4"/>
    </row>
    <row r="34" spans="1:9" ht="12.75">
      <c r="A34" s="4"/>
      <c r="B34" s="4"/>
      <c r="C34" s="4"/>
      <c r="D34" s="4"/>
      <c r="E34" s="4"/>
      <c r="F34" s="4"/>
      <c r="G34" s="4"/>
      <c r="H34" s="4"/>
      <c r="I34" s="4"/>
    </row>
    <row r="35" spans="1:9" ht="12.75">
      <c r="A35" s="4"/>
      <c r="B35" s="4"/>
      <c r="C35" s="4"/>
      <c r="D35" s="4"/>
      <c r="E35" s="4"/>
      <c r="F35" s="4"/>
      <c r="G35" s="4"/>
      <c r="H35" s="4"/>
      <c r="I35" s="4"/>
    </row>
    <row r="36" spans="1:9" ht="12.75">
      <c r="A36" s="4"/>
      <c r="B36" s="4"/>
      <c r="C36" s="4"/>
      <c r="D36" s="4"/>
      <c r="E36" s="4"/>
      <c r="F36" s="4"/>
      <c r="G36" s="4"/>
      <c r="H36" s="4"/>
      <c r="I36" s="4"/>
    </row>
    <row r="37" spans="1:9" ht="12.75">
      <c r="A37" s="4"/>
      <c r="B37" s="4"/>
      <c r="C37" s="4"/>
      <c r="D37" s="4"/>
      <c r="E37" s="4"/>
      <c r="F37" s="4"/>
      <c r="G37" s="4"/>
      <c r="H37" s="4"/>
      <c r="I37" s="4"/>
    </row>
    <row r="38" spans="1:9" ht="12.75">
      <c r="A38" s="4"/>
      <c r="B38" s="4"/>
      <c r="C38" s="4"/>
      <c r="D38" s="4"/>
      <c r="E38" s="4"/>
      <c r="F38" s="4"/>
      <c r="G38" s="4"/>
      <c r="H38" s="4"/>
      <c r="I38" s="4"/>
    </row>
    <row r="39" spans="1:9" ht="12.75">
      <c r="A39" s="4"/>
      <c r="B39" s="4"/>
      <c r="C39" s="4"/>
      <c r="D39" s="4"/>
      <c r="E39" s="4"/>
      <c r="F39" s="4"/>
      <c r="G39" s="4"/>
      <c r="H39" s="4"/>
      <c r="I39" s="4"/>
    </row>
    <row r="40" spans="1:9" ht="12.75">
      <c r="A40" s="4"/>
      <c r="B40" s="4"/>
      <c r="C40" s="4"/>
      <c r="D40" s="4"/>
      <c r="E40" s="4"/>
      <c r="F40" s="4"/>
      <c r="G40" s="4"/>
      <c r="H40" s="4"/>
      <c r="I40" s="4"/>
    </row>
    <row r="41" spans="1:9" ht="12.75">
      <c r="A41" s="4"/>
      <c r="B41" s="4"/>
      <c r="C41" s="4"/>
      <c r="D41" s="4"/>
      <c r="E41" s="4"/>
      <c r="F41" s="4"/>
      <c r="G41" s="4"/>
      <c r="H41" s="4"/>
      <c r="I41" s="4"/>
    </row>
    <row r="42" spans="1:9" ht="12.75">
      <c r="A42" s="4"/>
      <c r="B42" s="4"/>
      <c r="C42" s="4"/>
      <c r="D42" s="4"/>
      <c r="E42" s="4"/>
      <c r="F42" s="4"/>
      <c r="G42" s="4"/>
      <c r="H42" s="4"/>
      <c r="I42" s="4"/>
    </row>
    <row r="43" spans="1:9" ht="12.75">
      <c r="A43" s="4"/>
      <c r="B43" s="4"/>
      <c r="C43" s="4"/>
      <c r="D43" s="4"/>
      <c r="E43" s="4"/>
      <c r="F43" s="4"/>
      <c r="G43" s="4"/>
      <c r="H43" s="4"/>
      <c r="I43" s="4"/>
    </row>
    <row r="44" spans="1:9" ht="12.75">
      <c r="A44" s="4"/>
      <c r="B44" s="4"/>
      <c r="C44" s="4"/>
      <c r="D44" s="4"/>
      <c r="E44" s="4"/>
      <c r="F44" s="4"/>
      <c r="G44" s="4"/>
      <c r="H44" s="4"/>
      <c r="I44" s="4"/>
    </row>
    <row r="45" spans="1:9" ht="12.75">
      <c r="A45" s="4"/>
      <c r="B45" s="4"/>
      <c r="C45" s="4"/>
      <c r="D45" s="4"/>
      <c r="E45" s="4"/>
      <c r="F45" s="4"/>
      <c r="G45" s="4"/>
      <c r="H45" s="4"/>
      <c r="I45" s="4"/>
    </row>
    <row r="46" spans="1:9" ht="12.75">
      <c r="A46" s="4"/>
      <c r="B46" s="4"/>
      <c r="C46" s="4"/>
      <c r="D46" s="4"/>
      <c r="E46" s="4"/>
      <c r="F46" s="4"/>
      <c r="G46" s="4"/>
      <c r="H46" s="4"/>
      <c r="I46" s="4"/>
    </row>
    <row r="47" spans="1:9" ht="12.75">
      <c r="A47" s="4"/>
      <c r="B47" s="4"/>
      <c r="C47" s="4"/>
      <c r="D47" s="4"/>
      <c r="E47" s="4"/>
      <c r="F47" s="4"/>
      <c r="G47" s="4"/>
      <c r="H47" s="4"/>
      <c r="I47" s="4"/>
    </row>
    <row r="48" spans="1:9" ht="12.75">
      <c r="A48" s="4"/>
      <c r="B48" s="4"/>
      <c r="C48" s="4"/>
      <c r="D48" s="4"/>
      <c r="E48" s="4"/>
      <c r="F48" s="4"/>
      <c r="G48" s="4"/>
      <c r="H48" s="4"/>
      <c r="I48" s="4"/>
    </row>
    <row r="49" spans="1:9" ht="12.75">
      <c r="A49" s="4"/>
      <c r="B49" s="4"/>
      <c r="C49" s="4"/>
      <c r="D49" s="4"/>
      <c r="E49" s="4"/>
      <c r="F49" s="4"/>
      <c r="G49" s="4"/>
      <c r="H49" s="4"/>
      <c r="I49" s="4"/>
    </row>
    <row r="50" spans="1:9" ht="12.75">
      <c r="A50" s="4"/>
      <c r="B50" s="4"/>
      <c r="C50" s="4"/>
      <c r="D50" s="4"/>
      <c r="E50" s="4"/>
      <c r="F50" s="4"/>
      <c r="G50" s="4"/>
      <c r="H50" s="4"/>
      <c r="I50" s="4"/>
    </row>
    <row r="51" spans="1:9" ht="12.75">
      <c r="A51" s="4" t="s">
        <v>169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4"/>
      <c r="B52" s="4"/>
      <c r="C52" s="4"/>
      <c r="D52" s="4"/>
      <c r="E52" s="4"/>
      <c r="F52" s="4"/>
      <c r="G52" s="4"/>
      <c r="H52" s="4"/>
      <c r="I52" s="4"/>
    </row>
    <row r="53" ht="12.75">
      <c r="I53" s="4"/>
    </row>
  </sheetData>
  <mergeCells count="7">
    <mergeCell ref="A22:F22"/>
    <mergeCell ref="A20:F20"/>
    <mergeCell ref="B2:C2"/>
    <mergeCell ref="B3:C3"/>
    <mergeCell ref="E3:F3"/>
    <mergeCell ref="E19:F19"/>
    <mergeCell ref="A19:D19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H11" sqref="H11"/>
    </sheetView>
  </sheetViews>
  <sheetFormatPr defaultColWidth="9.140625" defaultRowHeight="12.75"/>
  <cols>
    <col min="1" max="1" width="20.7109375" style="0" customWidth="1"/>
    <col min="2" max="3" width="11.7109375" style="0" customWidth="1"/>
    <col min="4" max="4" width="1.7109375" style="0" customWidth="1"/>
    <col min="5" max="6" width="11.7109375" style="0" customWidth="1"/>
  </cols>
  <sheetData>
    <row r="1" spans="1:8" ht="12.75">
      <c r="A1" s="160" t="s">
        <v>220</v>
      </c>
      <c r="B1" s="4"/>
      <c r="C1" s="4"/>
      <c r="D1" s="4"/>
      <c r="E1" s="4"/>
      <c r="F1" s="4"/>
      <c r="G1" s="4"/>
      <c r="H1" s="4"/>
    </row>
    <row r="2" spans="1:8" ht="12.75">
      <c r="A2" s="19"/>
      <c r="B2" s="348" t="s">
        <v>29</v>
      </c>
      <c r="C2" s="348"/>
      <c r="D2" s="4"/>
      <c r="E2" s="348" t="s">
        <v>151</v>
      </c>
      <c r="F2" s="348"/>
      <c r="G2" s="4"/>
      <c r="H2" s="4"/>
    </row>
    <row r="3" spans="1:8" ht="12.75">
      <c r="A3" s="19" t="s">
        <v>28</v>
      </c>
      <c r="B3" s="132">
        <v>0</v>
      </c>
      <c r="C3" s="132">
        <f>'17Discounting'!C2</f>
        <v>0</v>
      </c>
      <c r="D3" s="4"/>
      <c r="E3" s="47" t="s">
        <v>70</v>
      </c>
      <c r="F3" s="47" t="s">
        <v>72</v>
      </c>
      <c r="G3" s="4"/>
      <c r="H3" s="4"/>
    </row>
    <row r="4" spans="1:8" ht="12.75">
      <c r="A4" s="4" t="s">
        <v>19</v>
      </c>
      <c r="B4" s="137">
        <f>7DiscountedCost!$G$14</f>
        <v>0</v>
      </c>
      <c r="C4" s="137">
        <f>7DiscountedCost!$G$14</f>
        <v>0</v>
      </c>
      <c r="D4" s="189"/>
      <c r="E4" s="137">
        <f>7DiscountedCost!$G$14</f>
        <v>0</v>
      </c>
      <c r="F4" s="137">
        <f>7DiscountedCost!$G$14</f>
        <v>0</v>
      </c>
      <c r="G4" s="4"/>
      <c r="H4" s="4"/>
    </row>
    <row r="5" spans="1:8" ht="12.75">
      <c r="A5" s="4" t="s">
        <v>3</v>
      </c>
      <c r="B5" s="237">
        <f>'17Discounting'!B8</f>
        <v>0</v>
      </c>
      <c r="C5" s="237" t="e">
        <f>'17Discounting'!C8</f>
        <v>#DIV/0!</v>
      </c>
      <c r="D5" s="4"/>
      <c r="E5" s="71"/>
      <c r="F5" s="71"/>
      <c r="G5" s="4"/>
      <c r="H5" s="4"/>
    </row>
    <row r="6" spans="1:8" ht="12.75">
      <c r="A6" s="4" t="s">
        <v>11</v>
      </c>
      <c r="B6" s="252">
        <f>'17Discounting'!B9</f>
        <v>0</v>
      </c>
      <c r="C6" s="252" t="e">
        <f>'17Discounting'!C9</f>
        <v>#DIV/0!</v>
      </c>
      <c r="D6" s="4"/>
      <c r="E6" s="252">
        <f>7InjuryCost!D25</f>
        <v>0</v>
      </c>
      <c r="F6" s="252">
        <f>7InjuryCost!E25</f>
        <v>0</v>
      </c>
      <c r="G6" s="4"/>
      <c r="H6" s="4"/>
    </row>
    <row r="7" spans="1:8" ht="12.75">
      <c r="A7" s="4" t="s">
        <v>14</v>
      </c>
      <c r="B7" s="242">
        <f>'17Discounting'!B10</f>
        <v>0</v>
      </c>
      <c r="C7" s="242" t="e">
        <f>'17Discounting'!C10</f>
        <v>#DIV/0!</v>
      </c>
      <c r="D7" s="4"/>
      <c r="E7" s="4"/>
      <c r="F7" s="4"/>
      <c r="G7" s="4"/>
      <c r="H7" s="4"/>
    </row>
    <row r="8" spans="1:8" ht="13.5" thickBot="1">
      <c r="A8" s="4" t="s">
        <v>12</v>
      </c>
      <c r="B8" s="261">
        <f>'17Discounting'!B11</f>
        <v>0</v>
      </c>
      <c r="C8" s="261" t="e">
        <f>'17Discounting'!C11</f>
        <v>#DIV/0!</v>
      </c>
      <c r="D8" s="4"/>
      <c r="E8" s="187"/>
      <c r="F8" s="187"/>
      <c r="G8" s="4"/>
      <c r="H8" s="4"/>
    </row>
    <row r="9" spans="1:8" ht="12.75">
      <c r="A9" s="4" t="s">
        <v>31</v>
      </c>
      <c r="B9" s="71">
        <f>SUM(B4:B8)</f>
        <v>0</v>
      </c>
      <c r="C9" s="71" t="e">
        <f>'17Discounting'!C12</f>
        <v>#DIV/0!</v>
      </c>
      <c r="D9" s="4"/>
      <c r="E9" s="71">
        <f>SUM(E4:E8)</f>
        <v>0</v>
      </c>
      <c r="F9" s="71">
        <f>SUM(F4:F8)</f>
        <v>0</v>
      </c>
      <c r="G9" s="4"/>
      <c r="H9" s="4"/>
    </row>
    <row r="10" spans="1:8" ht="12.75">
      <c r="A10" s="4"/>
      <c r="B10" s="4"/>
      <c r="C10" s="4"/>
      <c r="D10" s="4"/>
      <c r="E10" s="4"/>
      <c r="F10" s="4"/>
      <c r="G10" s="4"/>
      <c r="H10" s="4"/>
    </row>
    <row r="11" spans="1:8" ht="12.75">
      <c r="A11" s="19" t="s">
        <v>73</v>
      </c>
      <c r="B11" s="49" t="e">
        <f>-12*B4/(SUM(B5:B8)/'17Discounting'!C4)</f>
        <v>#DIV/0!</v>
      </c>
      <c r="C11" s="30" t="s">
        <v>95</v>
      </c>
      <c r="D11" s="4"/>
      <c r="E11" s="52" t="e">
        <f>12*E4/(SUM(E5:E8)/'17Discounting'!C4)</f>
        <v>#DIV/0!</v>
      </c>
      <c r="F11" s="51" t="e">
        <f>12*F4/(SUM(F5:F8)/'17Discounting'!C4)</f>
        <v>#DIV/0!</v>
      </c>
      <c r="G11" s="4"/>
      <c r="H11" s="4"/>
    </row>
    <row r="12" spans="1:8" ht="12.75">
      <c r="A12" s="4"/>
      <c r="B12" s="4"/>
      <c r="C12" s="4"/>
      <c r="D12" s="4"/>
      <c r="E12" s="53" t="s">
        <v>95</v>
      </c>
      <c r="F12" s="54" t="s">
        <v>95</v>
      </c>
      <c r="G12" s="4"/>
      <c r="H12" s="4"/>
    </row>
    <row r="13" spans="1:8" ht="15.75">
      <c r="A13" s="339" t="s">
        <v>264</v>
      </c>
      <c r="B13" s="339"/>
      <c r="C13" s="339"/>
      <c r="D13" s="339"/>
      <c r="E13" s="339"/>
      <c r="F13" s="339"/>
      <c r="G13" s="339"/>
      <c r="H13" s="339"/>
    </row>
    <row r="14" spans="1:8" ht="16.5" thickBot="1">
      <c r="A14" s="293" t="s">
        <v>250</v>
      </c>
      <c r="B14" s="277" t="s">
        <v>244</v>
      </c>
      <c r="C14" s="284" t="b">
        <f>EXACT(B14,"yes")</f>
        <v>1</v>
      </c>
      <c r="D14" s="75"/>
      <c r="E14" s="75"/>
      <c r="F14" s="4"/>
      <c r="G14" s="4"/>
      <c r="H14" s="4"/>
    </row>
    <row r="15" spans="1:8" ht="12.75">
      <c r="A15" s="4"/>
      <c r="B15" s="4"/>
      <c r="C15" s="4"/>
      <c r="D15" s="4"/>
      <c r="E15" s="75"/>
      <c r="F15" s="4"/>
      <c r="G15" s="4"/>
      <c r="H15" s="4"/>
    </row>
    <row r="16" spans="1:8" ht="12.75">
      <c r="A16" s="4"/>
      <c r="B16" s="75"/>
      <c r="C16" s="75"/>
      <c r="D16" s="75"/>
      <c r="E16" s="75"/>
      <c r="F16" s="4"/>
      <c r="G16" s="4"/>
      <c r="H16" s="4"/>
    </row>
    <row r="17" spans="1:8" ht="12.75">
      <c r="A17" s="4"/>
      <c r="B17" s="67" t="s">
        <v>227</v>
      </c>
      <c r="C17" s="188" t="e">
        <f>$B$11</f>
        <v>#DIV/0!</v>
      </c>
      <c r="D17" s="67"/>
      <c r="E17" s="75"/>
      <c r="F17" s="4"/>
      <c r="G17" s="4"/>
      <c r="H17" s="4"/>
    </row>
    <row r="18" spans="1:8" ht="12.75">
      <c r="A18" s="4"/>
      <c r="B18" s="67" t="s">
        <v>170</v>
      </c>
      <c r="C18" s="188" t="e">
        <f>E11</f>
        <v>#DIV/0!</v>
      </c>
      <c r="D18" s="67"/>
      <c r="E18" s="4"/>
      <c r="F18" s="4"/>
      <c r="G18" s="4"/>
      <c r="H18" s="4"/>
    </row>
    <row r="19" spans="1:8" ht="12.75">
      <c r="A19" s="4"/>
      <c r="B19" s="67" t="s">
        <v>171</v>
      </c>
      <c r="C19" s="188" t="e">
        <f>F11</f>
        <v>#DIV/0!</v>
      </c>
      <c r="D19" s="67"/>
      <c r="E19" s="4"/>
      <c r="F19" s="4"/>
      <c r="G19" s="4"/>
      <c r="H19" s="4"/>
    </row>
    <row r="20" spans="1:8" ht="12.75">
      <c r="A20" s="4"/>
      <c r="B20" s="4"/>
      <c r="C20" s="4"/>
      <c r="D20" s="4"/>
      <c r="E20" s="4"/>
      <c r="F20" s="4"/>
      <c r="G20" s="4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4"/>
      <c r="B25" s="4"/>
      <c r="C25" s="4"/>
      <c r="D25" s="4"/>
      <c r="E25" s="4"/>
      <c r="F25" s="4"/>
      <c r="G25" s="4"/>
      <c r="H25" s="4"/>
    </row>
    <row r="26" spans="1:8" ht="12.75">
      <c r="A26" s="4"/>
      <c r="B26" s="4"/>
      <c r="C26" s="4"/>
      <c r="D26" s="4"/>
      <c r="E26" s="4"/>
      <c r="F26" s="4"/>
      <c r="G26" s="4"/>
      <c r="H26" s="4"/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 t="s">
        <v>169</v>
      </c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</sheetData>
  <mergeCells count="3">
    <mergeCell ref="B2:C2"/>
    <mergeCell ref="E2:F2"/>
    <mergeCell ref="A13:H13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="75" zoomScaleNormal="75" workbookViewId="0" topLeftCell="A1">
      <selection activeCell="B25" sqref="B25:C25"/>
    </sheetView>
  </sheetViews>
  <sheetFormatPr defaultColWidth="9.140625" defaultRowHeight="12.75"/>
  <cols>
    <col min="1" max="1" width="25.7109375" style="0" customWidth="1"/>
  </cols>
  <sheetData>
    <row r="1" spans="1:8" ht="15">
      <c r="A1" s="332" t="s">
        <v>204</v>
      </c>
      <c r="B1" s="332"/>
      <c r="C1" s="332"/>
      <c r="D1" s="4" t="s">
        <v>222</v>
      </c>
      <c r="E1" s="4"/>
      <c r="F1" s="4"/>
      <c r="G1" s="4"/>
      <c r="H1" s="4"/>
    </row>
    <row r="2" spans="1:8" ht="12.75">
      <c r="A2" s="22" t="s">
        <v>129</v>
      </c>
      <c r="B2" s="22" t="s">
        <v>132</v>
      </c>
      <c r="C2" s="4"/>
      <c r="D2" s="4"/>
      <c r="E2" s="4"/>
      <c r="F2" s="4"/>
      <c r="G2" s="4"/>
      <c r="H2" s="4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2.75">
      <c r="A4" s="19" t="s">
        <v>130</v>
      </c>
      <c r="B4" s="4"/>
      <c r="C4" s="18"/>
      <c r="D4" s="4"/>
      <c r="E4" s="4"/>
      <c r="F4" s="4"/>
      <c r="G4" s="4"/>
      <c r="H4" s="4"/>
    </row>
    <row r="5" spans="1:8" ht="12.75">
      <c r="A5" s="4" t="s">
        <v>143</v>
      </c>
      <c r="B5" s="31">
        <f>1HeathersCare!B7</f>
        <v>0</v>
      </c>
      <c r="C5" s="18"/>
      <c r="D5" s="4"/>
      <c r="E5" s="4"/>
      <c r="F5" s="4"/>
      <c r="G5" s="4"/>
      <c r="H5" s="4"/>
    </row>
    <row r="6" spans="1:8" ht="12.75">
      <c r="A6" s="4" t="s">
        <v>157</v>
      </c>
      <c r="B6" s="31">
        <f>1HeathersCare!B8</f>
        <v>0</v>
      </c>
      <c r="C6" s="18"/>
      <c r="D6" s="4"/>
      <c r="E6" s="4"/>
      <c r="F6" s="4"/>
      <c r="G6" s="4"/>
      <c r="H6" s="4"/>
    </row>
    <row r="7" spans="1:8" ht="12.75">
      <c r="A7" s="4" t="s">
        <v>145</v>
      </c>
      <c r="B7" s="31">
        <f>1HeathersCare!B9</f>
        <v>0</v>
      </c>
      <c r="C7" s="18"/>
      <c r="D7" s="4"/>
      <c r="E7" s="4"/>
      <c r="F7" s="4"/>
      <c r="G7" s="4"/>
      <c r="H7" s="4"/>
    </row>
    <row r="8" spans="1:8" ht="12.75">
      <c r="A8" s="4" t="s">
        <v>142</v>
      </c>
      <c r="B8" s="31">
        <f>1HeathersCare!B10</f>
        <v>0</v>
      </c>
      <c r="C8" s="18"/>
      <c r="D8" s="4"/>
      <c r="E8" s="4"/>
      <c r="F8" s="4"/>
      <c r="G8" s="4"/>
      <c r="H8" s="4"/>
    </row>
    <row r="9" spans="1:8" ht="12.75">
      <c r="A9" s="4" t="s">
        <v>138</v>
      </c>
      <c r="B9" s="31">
        <f>1HeathersCare!B11</f>
        <v>0</v>
      </c>
      <c r="C9" s="18"/>
      <c r="D9" s="4"/>
      <c r="E9" s="4"/>
      <c r="F9" s="4"/>
      <c r="G9" s="4"/>
      <c r="H9" s="4"/>
    </row>
    <row r="10" spans="1:8" ht="12.75">
      <c r="A10" s="4" t="s">
        <v>154</v>
      </c>
      <c r="B10" s="31">
        <f>1HeathersCare!B12</f>
        <v>0</v>
      </c>
      <c r="C10" s="18"/>
      <c r="D10" s="4"/>
      <c r="E10" s="4"/>
      <c r="F10" s="4"/>
      <c r="G10" s="4"/>
      <c r="H10" s="4"/>
    </row>
    <row r="11" spans="1:8" ht="12.75">
      <c r="A11" s="4" t="s">
        <v>180</v>
      </c>
      <c r="B11" s="31">
        <f>1HeathersCare!B13</f>
        <v>0</v>
      </c>
      <c r="C11" s="18"/>
      <c r="D11" s="4"/>
      <c r="E11" s="4"/>
      <c r="F11" s="4"/>
      <c r="G11" s="4"/>
      <c r="H11" s="4"/>
    </row>
    <row r="12" spans="1:8" ht="12.75">
      <c r="A12" s="75" t="s">
        <v>184</v>
      </c>
      <c r="B12" s="138">
        <f>1HeathersCare!B14</f>
        <v>0</v>
      </c>
      <c r="C12" s="18"/>
      <c r="D12" s="4"/>
      <c r="E12" s="4"/>
      <c r="F12" s="4"/>
      <c r="G12" s="4"/>
      <c r="H12" s="4"/>
    </row>
    <row r="13" spans="1:8" ht="12.75">
      <c r="A13" s="163" t="s">
        <v>85</v>
      </c>
      <c r="B13" s="151">
        <f>SUM(B5:B12)</f>
        <v>0</v>
      </c>
      <c r="C13" s="18"/>
      <c r="D13" s="331" t="s">
        <v>97</v>
      </c>
      <c r="E13" s="331"/>
      <c r="F13" s="4"/>
      <c r="G13" s="4"/>
      <c r="H13" s="4"/>
    </row>
    <row r="14" spans="1:8" ht="12.75">
      <c r="A14" s="19" t="s">
        <v>131</v>
      </c>
      <c r="B14" s="19"/>
      <c r="C14" s="18"/>
      <c r="D14" s="4" t="s">
        <v>81</v>
      </c>
      <c r="E14" s="4" t="s">
        <v>82</v>
      </c>
      <c r="F14" s="4" t="s">
        <v>80</v>
      </c>
      <c r="G14" s="4"/>
      <c r="H14" s="4"/>
    </row>
    <row r="15" spans="1:8" ht="12.75">
      <c r="A15" s="4" t="s">
        <v>185</v>
      </c>
      <c r="B15" s="262">
        <f aca="true" t="shared" si="0" ref="B15:B21">D15*E15</f>
        <v>0</v>
      </c>
      <c r="D15" s="8"/>
      <c r="E15" s="6"/>
      <c r="F15" s="4" t="s">
        <v>95</v>
      </c>
      <c r="G15" s="4"/>
      <c r="H15" s="4"/>
    </row>
    <row r="16" spans="1:8" ht="12.75">
      <c r="A16" s="4" t="s">
        <v>137</v>
      </c>
      <c r="B16" s="270">
        <f t="shared" si="0"/>
        <v>0</v>
      </c>
      <c r="D16" s="8"/>
      <c r="E16" s="6"/>
      <c r="F16" s="4" t="s">
        <v>183</v>
      </c>
      <c r="G16" s="4"/>
      <c r="H16" s="4"/>
    </row>
    <row r="17" spans="1:8" ht="12.75">
      <c r="A17" s="4" t="s">
        <v>139</v>
      </c>
      <c r="B17" s="267">
        <f t="shared" si="0"/>
        <v>0</v>
      </c>
      <c r="D17" s="8"/>
      <c r="E17" s="6"/>
      <c r="F17" s="4" t="s">
        <v>140</v>
      </c>
      <c r="G17" s="4"/>
      <c r="H17" s="4"/>
    </row>
    <row r="18" spans="1:8" ht="12.75">
      <c r="A18" s="4" t="s">
        <v>182</v>
      </c>
      <c r="B18" s="268">
        <f t="shared" si="0"/>
        <v>0</v>
      </c>
      <c r="D18" s="8"/>
      <c r="E18" s="6"/>
      <c r="F18" s="4" t="s">
        <v>183</v>
      </c>
      <c r="G18" s="4"/>
      <c r="H18" s="4"/>
    </row>
    <row r="19" spans="1:8" ht="12.75">
      <c r="A19" s="4" t="s">
        <v>180</v>
      </c>
      <c r="B19" s="241">
        <f t="shared" si="0"/>
        <v>0</v>
      </c>
      <c r="D19" s="8"/>
      <c r="E19" s="6"/>
      <c r="F19" s="4" t="s">
        <v>183</v>
      </c>
      <c r="G19" s="4"/>
      <c r="H19" s="4"/>
    </row>
    <row r="20" spans="1:8" ht="12.75">
      <c r="A20" s="4" t="s">
        <v>184</v>
      </c>
      <c r="B20" s="269">
        <f t="shared" si="0"/>
        <v>0</v>
      </c>
      <c r="D20" s="8"/>
      <c r="E20" s="6"/>
      <c r="F20" s="4" t="s">
        <v>95</v>
      </c>
      <c r="G20" s="4"/>
      <c r="H20" s="4"/>
    </row>
    <row r="21" spans="1:8" ht="12.75">
      <c r="A21" s="4" t="s">
        <v>186</v>
      </c>
      <c r="B21" s="138">
        <f t="shared" si="0"/>
        <v>0</v>
      </c>
      <c r="D21" s="8"/>
      <c r="E21" s="6"/>
      <c r="F21" s="4" t="s">
        <v>183</v>
      </c>
      <c r="G21" s="4"/>
      <c r="H21" s="4"/>
    </row>
    <row r="22" spans="1:8" ht="12.75">
      <c r="A22" s="163" t="s">
        <v>85</v>
      </c>
      <c r="B22" s="71">
        <f>SUM(B15:B21)</f>
        <v>0</v>
      </c>
      <c r="C22" s="18" t="s">
        <v>159</v>
      </c>
      <c r="D22" s="4"/>
      <c r="E22" s="4"/>
      <c r="F22" s="4"/>
      <c r="G22" s="4"/>
      <c r="H22" s="4"/>
    </row>
    <row r="23" spans="1:8" ht="12.75">
      <c r="A23" s="163"/>
      <c r="B23" s="71"/>
      <c r="C23" s="18"/>
      <c r="D23" s="4"/>
      <c r="E23" s="4"/>
      <c r="G23" s="4"/>
      <c r="H23" s="4"/>
    </row>
    <row r="24" spans="1:8" ht="15.75">
      <c r="A24" s="337" t="s">
        <v>254</v>
      </c>
      <c r="B24" s="333"/>
      <c r="C24" s="333"/>
      <c r="D24" s="333"/>
      <c r="E24" s="333"/>
      <c r="F24" s="333"/>
      <c r="G24" s="333"/>
      <c r="H24" s="274"/>
    </row>
    <row r="25" spans="1:8" ht="16.5" thickBot="1">
      <c r="A25" s="293" t="s">
        <v>230</v>
      </c>
      <c r="B25" s="336"/>
      <c r="C25" s="336"/>
      <c r="D25" s="335" t="str">
        <f>IF(B25=B22,"This is correct!","Try again.")</f>
        <v>This is correct!</v>
      </c>
      <c r="E25" s="335"/>
      <c r="F25" s="4"/>
      <c r="G25" s="4"/>
      <c r="H25" s="4"/>
    </row>
    <row r="26" spans="1:8" ht="12.75">
      <c r="A26" s="4"/>
      <c r="B26" s="4"/>
      <c r="C26" s="4"/>
      <c r="D26" s="4"/>
      <c r="E26" s="4"/>
      <c r="F26" s="4"/>
      <c r="G26" s="4"/>
      <c r="H26" s="4"/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2:8" ht="12.75"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 t="s">
        <v>169</v>
      </c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</sheetData>
  <mergeCells count="5">
    <mergeCell ref="A1:C1"/>
    <mergeCell ref="D13:E13"/>
    <mergeCell ref="D25:E25"/>
    <mergeCell ref="B25:C25"/>
    <mergeCell ref="A24:G2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H8" sqref="H8"/>
    </sheetView>
  </sheetViews>
  <sheetFormatPr defaultColWidth="9.140625" defaultRowHeight="12.75"/>
  <cols>
    <col min="1" max="1" width="19.7109375" style="0" customWidth="1"/>
    <col min="2" max="2" width="11.7109375" style="0" customWidth="1"/>
    <col min="3" max="3" width="11.7109375" style="0" hidden="1" customWidth="1"/>
    <col min="4" max="4" width="1.7109375" style="0" customWidth="1"/>
    <col min="5" max="6" width="11.7109375" style="0" customWidth="1"/>
  </cols>
  <sheetData>
    <row r="1" spans="1:8" ht="12.75">
      <c r="A1" s="160" t="s">
        <v>278</v>
      </c>
      <c r="B1" s="4"/>
      <c r="C1" s="4"/>
      <c r="D1" s="4"/>
      <c r="E1" s="4"/>
      <c r="F1" s="4"/>
      <c r="G1" s="4"/>
      <c r="H1" s="4"/>
    </row>
    <row r="2" spans="1:8" ht="12.75">
      <c r="A2" s="19"/>
      <c r="B2" s="328" t="s">
        <v>270</v>
      </c>
      <c r="C2" s="328"/>
      <c r="D2" s="4"/>
      <c r="E2" s="348" t="s">
        <v>151</v>
      </c>
      <c r="F2" s="348"/>
      <c r="G2" s="4"/>
      <c r="H2" s="4"/>
    </row>
    <row r="3" spans="1:8" ht="12.75">
      <c r="A3" s="19" t="s">
        <v>28</v>
      </c>
      <c r="B3" s="306" t="s">
        <v>271</v>
      </c>
      <c r="C3" s="309">
        <f>'17Discounting'!C2</f>
        <v>0</v>
      </c>
      <c r="D3" s="4"/>
      <c r="E3" s="47" t="s">
        <v>70</v>
      </c>
      <c r="F3" s="47" t="s">
        <v>72</v>
      </c>
      <c r="G3" s="4"/>
      <c r="H3" s="4"/>
    </row>
    <row r="4" spans="1:8" ht="12.75">
      <c r="A4" s="4" t="s">
        <v>19</v>
      </c>
      <c r="B4" s="138">
        <f>7DiscountedCost!$G$14</f>
        <v>0</v>
      </c>
      <c r="C4" s="138">
        <f>7DiscountedCost!$G$14</f>
        <v>0</v>
      </c>
      <c r="D4" s="4"/>
      <c r="E4" s="137">
        <f>7DiscountedCost!$G$14</f>
        <v>0</v>
      </c>
      <c r="F4" s="137">
        <f>7DiscountedCost!$G$14</f>
        <v>0</v>
      </c>
      <c r="G4" s="4"/>
      <c r="H4" s="4"/>
    </row>
    <row r="5" spans="1:8" ht="12.75">
      <c r="A5" s="4" t="s">
        <v>3</v>
      </c>
      <c r="B5" s="237">
        <f>'17Discounting'!B8</f>
        <v>0</v>
      </c>
      <c r="C5" s="237" t="e">
        <f>'17Discounting'!C8</f>
        <v>#DIV/0!</v>
      </c>
      <c r="D5" s="4"/>
      <c r="E5" s="71"/>
      <c r="F5" s="71"/>
      <c r="G5" s="4"/>
      <c r="H5" s="4"/>
    </row>
    <row r="6" spans="1:8" ht="12.75">
      <c r="A6" s="4" t="s">
        <v>11</v>
      </c>
      <c r="B6" s="252">
        <f>'17Discounting'!B9</f>
        <v>0</v>
      </c>
      <c r="C6" s="252" t="e">
        <f>'17Discounting'!C9</f>
        <v>#DIV/0!</v>
      </c>
      <c r="D6" s="4"/>
      <c r="E6" s="252">
        <f>7InjuryCost!D25</f>
        <v>0</v>
      </c>
      <c r="F6" s="252">
        <f>7InjuryCost!E25</f>
        <v>0</v>
      </c>
      <c r="G6" s="4"/>
      <c r="H6" s="4"/>
    </row>
    <row r="7" spans="1:8" ht="12.75">
      <c r="A7" s="4" t="s">
        <v>14</v>
      </c>
      <c r="B7" s="242">
        <f>'17Discounting'!B10</f>
        <v>0</v>
      </c>
      <c r="C7" s="242" t="e">
        <f>'17Discounting'!C10</f>
        <v>#DIV/0!</v>
      </c>
      <c r="D7" s="4"/>
      <c r="E7" s="4"/>
      <c r="F7" s="4"/>
      <c r="G7" s="4"/>
      <c r="H7" s="4"/>
    </row>
    <row r="8" spans="1:8" ht="13.5" thickBot="1">
      <c r="A8" s="4" t="s">
        <v>12</v>
      </c>
      <c r="B8" s="261">
        <f>'17Discounting'!B11</f>
        <v>0</v>
      </c>
      <c r="C8" s="261" t="e">
        <f>'17Discounting'!C11</f>
        <v>#DIV/0!</v>
      </c>
      <c r="D8" s="4"/>
      <c r="E8" s="187"/>
      <c r="F8" s="187"/>
      <c r="G8" s="4"/>
      <c r="H8" s="4"/>
    </row>
    <row r="9" spans="1:8" ht="12.75">
      <c r="A9" s="19" t="s">
        <v>91</v>
      </c>
      <c r="B9" s="4"/>
      <c r="C9" s="4"/>
      <c r="D9" s="4"/>
      <c r="E9" s="4"/>
      <c r="F9" s="4"/>
      <c r="G9" s="4"/>
      <c r="H9" s="4"/>
    </row>
    <row r="10" spans="1:8" ht="12.75">
      <c r="A10" s="4" t="s">
        <v>92</v>
      </c>
      <c r="B10" s="71">
        <f>-SUM(B5:B8)</f>
        <v>0</v>
      </c>
      <c r="C10" s="71" t="e">
        <f>-SUM(C5:C8)</f>
        <v>#DIV/0!</v>
      </c>
      <c r="D10" s="4"/>
      <c r="E10" s="71">
        <f>SUM(E5:E8)</f>
        <v>0</v>
      </c>
      <c r="F10" s="71">
        <f>SUM(F5:F8)</f>
        <v>0</v>
      </c>
      <c r="G10" s="4"/>
      <c r="H10" s="4"/>
    </row>
    <row r="11" spans="1:8" ht="13.5" thickBot="1">
      <c r="A11" s="4" t="s">
        <v>67</v>
      </c>
      <c r="B11" s="187">
        <f>B4</f>
        <v>0</v>
      </c>
      <c r="C11" s="187">
        <f>C4</f>
        <v>0</v>
      </c>
      <c r="D11" s="4"/>
      <c r="E11" s="187">
        <f>E4</f>
        <v>0</v>
      </c>
      <c r="F11" s="187">
        <f>F4</f>
        <v>0</v>
      </c>
      <c r="G11" s="4"/>
      <c r="H11" s="4"/>
    </row>
    <row r="12" spans="1:8" ht="12.75">
      <c r="A12" s="4" t="s">
        <v>94</v>
      </c>
      <c r="B12" s="136" t="e">
        <f>B10/B11</f>
        <v>#DIV/0!</v>
      </c>
      <c r="C12" s="136" t="e">
        <f>C10/C11</f>
        <v>#DIV/0!</v>
      </c>
      <c r="D12" s="18"/>
      <c r="E12" s="136" t="e">
        <f>E10/E11</f>
        <v>#DIV/0!</v>
      </c>
      <c r="F12" s="136" t="e">
        <f>F10/F11</f>
        <v>#DIV/0!</v>
      </c>
      <c r="G12" s="4"/>
      <c r="H12" s="4"/>
    </row>
    <row r="13" spans="1:8" ht="13.5">
      <c r="A13" s="329" t="s">
        <v>282</v>
      </c>
      <c r="B13" s="329"/>
      <c r="C13" s="329"/>
      <c r="D13" s="329"/>
      <c r="E13" s="329"/>
      <c r="F13" s="329"/>
      <c r="G13" s="329"/>
      <c r="H13" s="329"/>
    </row>
    <row r="14" spans="1:8" ht="14.25" thickBot="1">
      <c r="A14" s="330" t="s">
        <v>251</v>
      </c>
      <c r="B14" s="330"/>
      <c r="C14" s="330"/>
      <c r="D14" s="330"/>
      <c r="E14" s="330"/>
      <c r="F14" s="330"/>
      <c r="G14" s="308"/>
      <c r="H14" s="77" t="b">
        <f>EXACT(G14,"no")</f>
        <v>0</v>
      </c>
    </row>
    <row r="15" spans="1:9" ht="13.5">
      <c r="A15" s="313" t="s">
        <v>284</v>
      </c>
      <c r="B15" s="307"/>
      <c r="C15" s="307"/>
      <c r="D15" s="307"/>
      <c r="E15" s="307"/>
      <c r="F15" s="307"/>
      <c r="G15" s="312"/>
      <c r="H15" s="77"/>
      <c r="I15" s="314"/>
    </row>
    <row r="16" spans="1:9" ht="14.25" thickBot="1">
      <c r="A16" s="315" t="s">
        <v>283</v>
      </c>
      <c r="B16" s="316"/>
      <c r="C16" s="316"/>
      <c r="D16" s="316"/>
      <c r="E16" s="316"/>
      <c r="F16" s="316"/>
      <c r="G16" s="308"/>
      <c r="H16" s="77" t="b">
        <f>EXACT(G16,"yes")</f>
        <v>0</v>
      </c>
      <c r="I16" s="314"/>
    </row>
    <row r="17" spans="1:9" ht="12.75">
      <c r="A17" s="317"/>
      <c r="B17" s="317"/>
      <c r="C17" s="317"/>
      <c r="D17" s="317"/>
      <c r="E17" s="317"/>
      <c r="F17" s="317"/>
      <c r="G17" s="317"/>
      <c r="H17" s="317"/>
      <c r="I17" s="314"/>
    </row>
    <row r="18" spans="1:9" ht="12.75">
      <c r="A18" s="317"/>
      <c r="B18" s="317"/>
      <c r="C18" s="317"/>
      <c r="D18" s="317"/>
      <c r="E18" s="318" t="s">
        <v>270</v>
      </c>
      <c r="F18" s="317" t="str">
        <f>E3</f>
        <v>Farm</v>
      </c>
      <c r="G18" s="317" t="str">
        <f>F3</f>
        <v>Society</v>
      </c>
      <c r="H18" s="317"/>
      <c r="I18" s="314"/>
    </row>
    <row r="19" spans="1:8" ht="12.75">
      <c r="A19" s="4"/>
      <c r="B19" s="4"/>
      <c r="C19" s="4"/>
      <c r="D19" s="4" t="str">
        <f>A10</f>
        <v>Benefit </v>
      </c>
      <c r="E19" s="71">
        <f>B10</f>
        <v>0</v>
      </c>
      <c r="F19" s="71">
        <f aca="true" t="shared" si="0" ref="F19:G21">E10</f>
        <v>0</v>
      </c>
      <c r="G19" s="71">
        <f t="shared" si="0"/>
        <v>0</v>
      </c>
      <c r="H19" s="4"/>
    </row>
    <row r="20" spans="1:8" ht="12.75">
      <c r="A20" s="4"/>
      <c r="B20" s="4"/>
      <c r="C20" s="4"/>
      <c r="D20" s="4" t="str">
        <f>A11</f>
        <v>Cost</v>
      </c>
      <c r="E20" s="71">
        <f>B11</f>
        <v>0</v>
      </c>
      <c r="F20" s="71">
        <f t="shared" si="0"/>
        <v>0</v>
      </c>
      <c r="G20" s="71">
        <f t="shared" si="0"/>
        <v>0</v>
      </c>
      <c r="H20" s="4"/>
    </row>
    <row r="21" spans="1:8" ht="12.75">
      <c r="A21" s="4"/>
      <c r="B21" s="4"/>
      <c r="C21" s="4"/>
      <c r="D21" s="4" t="s">
        <v>108</v>
      </c>
      <c r="E21" s="150" t="e">
        <f>B12</f>
        <v>#DIV/0!</v>
      </c>
      <c r="F21" s="150" t="e">
        <f t="shared" si="0"/>
        <v>#DIV/0!</v>
      </c>
      <c r="G21" s="150" t="e">
        <f t="shared" si="0"/>
        <v>#DIV/0!</v>
      </c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4"/>
      <c r="B25" s="4"/>
      <c r="C25" s="4"/>
      <c r="D25" s="4"/>
      <c r="E25" s="4"/>
      <c r="F25" s="4"/>
      <c r="G25" s="4"/>
      <c r="H25" s="4"/>
    </row>
    <row r="26" spans="1:8" ht="12.75">
      <c r="A26" s="4"/>
      <c r="B26" s="4"/>
      <c r="C26" s="4"/>
      <c r="D26" s="4"/>
      <c r="E26" s="4"/>
      <c r="F26" s="4"/>
      <c r="G26" s="4"/>
      <c r="H26" s="4"/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 t="s">
        <v>169</v>
      </c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</sheetData>
  <mergeCells count="4">
    <mergeCell ref="B2:C2"/>
    <mergeCell ref="E2:F2"/>
    <mergeCell ref="A13:H13"/>
    <mergeCell ref="A14:F14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zoomScale="90" zoomScaleNormal="90" workbookViewId="0" topLeftCell="A1">
      <selection activeCell="C31" sqref="C31:D31"/>
    </sheetView>
  </sheetViews>
  <sheetFormatPr defaultColWidth="9.140625" defaultRowHeight="12.75"/>
  <cols>
    <col min="1" max="1" width="24.7109375" style="0" customWidth="1"/>
    <col min="2" max="2" width="11.7109375" style="0" customWidth="1"/>
    <col min="3" max="3" width="5.7109375" style="0" customWidth="1"/>
    <col min="4" max="5" width="9.28125" style="0" bestFit="1" customWidth="1"/>
    <col min="6" max="6" width="7.7109375" style="0" customWidth="1"/>
    <col min="7" max="7" width="5.7109375" style="0" customWidth="1"/>
    <col min="8" max="8" width="11.7109375" style="0" customWidth="1"/>
  </cols>
  <sheetData>
    <row r="1" spans="1:8" ht="12.75">
      <c r="A1" s="338" t="s">
        <v>200</v>
      </c>
      <c r="B1" s="338"/>
      <c r="C1" s="338"/>
      <c r="D1" s="338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2.75">
      <c r="A3" s="22" t="s">
        <v>129</v>
      </c>
      <c r="B3" s="22" t="s">
        <v>132</v>
      </c>
      <c r="C3" s="4"/>
      <c r="D3" s="331"/>
      <c r="E3" s="331"/>
      <c r="F3" s="4"/>
      <c r="G3" s="22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19" t="s">
        <v>130</v>
      </c>
      <c r="B5" s="4"/>
      <c r="C5" s="4"/>
      <c r="D5" s="4"/>
      <c r="E5" s="4"/>
      <c r="F5" s="4"/>
      <c r="G5" s="67"/>
      <c r="H5" s="67"/>
    </row>
    <row r="6" spans="1:8" ht="12.75">
      <c r="A6" s="4" t="s">
        <v>143</v>
      </c>
      <c r="B6" s="31">
        <f>1HeathersCare!B7</f>
        <v>0</v>
      </c>
      <c r="C6" s="18"/>
      <c r="D6" s="69"/>
      <c r="E6" s="18"/>
      <c r="F6" s="4"/>
      <c r="G6" s="67"/>
      <c r="H6" s="67"/>
    </row>
    <row r="7" spans="1:8" ht="12.75">
      <c r="A7" s="4" t="s">
        <v>157</v>
      </c>
      <c r="B7" s="31">
        <f>1HeathersCare!B8</f>
        <v>0</v>
      </c>
      <c r="C7" s="18"/>
      <c r="D7" s="69"/>
      <c r="E7" s="18"/>
      <c r="F7" s="4"/>
      <c r="G7" s="67">
        <v>13</v>
      </c>
      <c r="H7" s="60">
        <f>B14</f>
        <v>0</v>
      </c>
    </row>
    <row r="8" spans="1:8" ht="12.75">
      <c r="A8" s="4" t="s">
        <v>145</v>
      </c>
      <c r="B8" s="31">
        <f>1HeathersCare!B9</f>
        <v>0</v>
      </c>
      <c r="C8" s="18"/>
      <c r="D8" s="69"/>
      <c r="E8" s="18"/>
      <c r="F8" s="4"/>
      <c r="G8" s="67">
        <v>14</v>
      </c>
      <c r="H8" s="60">
        <f>H7+-PV(C24,G8-G$7,B$23)</f>
        <v>0</v>
      </c>
    </row>
    <row r="9" spans="1:8" ht="12.75">
      <c r="A9" s="4" t="s">
        <v>142</v>
      </c>
      <c r="B9" s="31">
        <f>1HeathersCare!B10</f>
        <v>0</v>
      </c>
      <c r="C9" s="18"/>
      <c r="D9" s="69"/>
      <c r="E9" s="18"/>
      <c r="F9" s="4"/>
      <c r="G9" s="67">
        <f>G8+1</f>
        <v>15</v>
      </c>
      <c r="H9" s="60">
        <f>H$7-PV(C$24,G9-G$7,B$23)</f>
        <v>0</v>
      </c>
    </row>
    <row r="10" spans="1:8" ht="12.75">
      <c r="A10" s="4" t="s">
        <v>138</v>
      </c>
      <c r="B10" s="31">
        <f>1HeathersCare!B11</f>
        <v>0</v>
      </c>
      <c r="C10" s="18"/>
      <c r="D10" s="69"/>
      <c r="E10" s="18"/>
      <c r="F10" s="4"/>
      <c r="G10" s="67">
        <f aca="true" t="shared" si="0" ref="G10:G52">G9+1</f>
        <v>16</v>
      </c>
      <c r="H10" s="60">
        <f aca="true" t="shared" si="1" ref="H10:H67">H$7-PV(C$24,G10-G$7,B$23)</f>
        <v>0</v>
      </c>
    </row>
    <row r="11" spans="1:8" ht="12.75">
      <c r="A11" s="4" t="s">
        <v>154</v>
      </c>
      <c r="B11" s="31">
        <f>1HeathersCare!B12</f>
        <v>0</v>
      </c>
      <c r="C11" s="18"/>
      <c r="D11" s="69"/>
      <c r="E11" s="18"/>
      <c r="F11" s="4"/>
      <c r="G11" s="67">
        <f t="shared" si="0"/>
        <v>17</v>
      </c>
      <c r="H11" s="60">
        <f t="shared" si="1"/>
        <v>0</v>
      </c>
    </row>
    <row r="12" spans="1:8" ht="12.75">
      <c r="A12" s="4" t="s">
        <v>180</v>
      </c>
      <c r="B12" s="31">
        <f>1HeathersCare!B13</f>
        <v>0</v>
      </c>
      <c r="C12" s="18"/>
      <c r="D12" s="69"/>
      <c r="E12" s="18"/>
      <c r="F12" s="4"/>
      <c r="G12" s="67">
        <f t="shared" si="0"/>
        <v>18</v>
      </c>
      <c r="H12" s="60">
        <f t="shared" si="1"/>
        <v>0</v>
      </c>
    </row>
    <row r="13" spans="1:8" ht="12.75">
      <c r="A13" s="75" t="s">
        <v>184</v>
      </c>
      <c r="B13" s="138">
        <f>1HeathersCare!B14</f>
        <v>0</v>
      </c>
      <c r="C13" s="18"/>
      <c r="D13" s="69"/>
      <c r="E13" s="18"/>
      <c r="F13" s="4"/>
      <c r="G13" s="67">
        <f t="shared" si="0"/>
        <v>19</v>
      </c>
      <c r="H13" s="60">
        <f t="shared" si="1"/>
        <v>0</v>
      </c>
    </row>
    <row r="14" spans="1:8" ht="12.75">
      <c r="A14" s="163" t="s">
        <v>85</v>
      </c>
      <c r="B14" s="151">
        <f>SUM(B6:B13)</f>
        <v>0</v>
      </c>
      <c r="C14" s="18"/>
      <c r="D14" s="18"/>
      <c r="E14" s="18"/>
      <c r="F14" s="4"/>
      <c r="G14" s="67">
        <f t="shared" si="0"/>
        <v>20</v>
      </c>
      <c r="H14" s="60">
        <f t="shared" si="1"/>
        <v>0</v>
      </c>
    </row>
    <row r="15" spans="1:8" ht="12.75">
      <c r="A15" s="19" t="s">
        <v>131</v>
      </c>
      <c r="B15" s="19"/>
      <c r="C15" s="18"/>
      <c r="D15" s="18"/>
      <c r="E15" s="18"/>
      <c r="F15" s="4"/>
      <c r="G15" s="67">
        <f t="shared" si="0"/>
        <v>21</v>
      </c>
      <c r="H15" s="60">
        <f t="shared" si="1"/>
        <v>0</v>
      </c>
    </row>
    <row r="16" spans="1:8" ht="12.75">
      <c r="A16" s="4" t="s">
        <v>185</v>
      </c>
      <c r="B16" s="31">
        <f>2AnnualCosts!B15</f>
        <v>0</v>
      </c>
      <c r="C16" s="18"/>
      <c r="D16" s="69"/>
      <c r="E16" s="18"/>
      <c r="F16" s="4"/>
      <c r="G16" s="67">
        <f t="shared" si="0"/>
        <v>22</v>
      </c>
      <c r="H16" s="60">
        <f t="shared" si="1"/>
        <v>0</v>
      </c>
    </row>
    <row r="17" spans="1:8" ht="12.75">
      <c r="A17" s="4" t="s">
        <v>137</v>
      </c>
      <c r="B17" s="31">
        <f>2AnnualCosts!B16</f>
        <v>0</v>
      </c>
      <c r="C17" s="18"/>
      <c r="D17" s="69"/>
      <c r="E17" s="18"/>
      <c r="F17" s="4"/>
      <c r="G17" s="67">
        <f t="shared" si="0"/>
        <v>23</v>
      </c>
      <c r="H17" s="60">
        <f t="shared" si="1"/>
        <v>0</v>
      </c>
    </row>
    <row r="18" spans="1:8" ht="12.75">
      <c r="A18" s="4" t="s">
        <v>139</v>
      </c>
      <c r="B18" s="31">
        <f>2AnnualCosts!B17</f>
        <v>0</v>
      </c>
      <c r="C18" s="18"/>
      <c r="D18" s="69"/>
      <c r="E18" s="18"/>
      <c r="F18" s="4"/>
      <c r="G18" s="67">
        <f t="shared" si="0"/>
        <v>24</v>
      </c>
      <c r="H18" s="60">
        <f t="shared" si="1"/>
        <v>0</v>
      </c>
    </row>
    <row r="19" spans="1:8" ht="12.75">
      <c r="A19" s="4" t="s">
        <v>182</v>
      </c>
      <c r="B19" s="31">
        <f>2AnnualCosts!B18</f>
        <v>0</v>
      </c>
      <c r="C19" s="18"/>
      <c r="D19" s="69"/>
      <c r="E19" s="18"/>
      <c r="F19" s="4"/>
      <c r="G19" s="67">
        <f t="shared" si="0"/>
        <v>25</v>
      </c>
      <c r="H19" s="60">
        <f t="shared" si="1"/>
        <v>0</v>
      </c>
    </row>
    <row r="20" spans="1:8" ht="12.75">
      <c r="A20" s="4" t="s">
        <v>180</v>
      </c>
      <c r="B20" s="31">
        <f>2AnnualCosts!B19</f>
        <v>0</v>
      </c>
      <c r="C20" s="18"/>
      <c r="D20" s="4" t="s">
        <v>231</v>
      </c>
      <c r="E20" s="18"/>
      <c r="F20" s="4"/>
      <c r="G20" s="67">
        <f t="shared" si="0"/>
        <v>26</v>
      </c>
      <c r="H20" s="60">
        <f t="shared" si="1"/>
        <v>0</v>
      </c>
    </row>
    <row r="21" spans="1:8" ht="12.75">
      <c r="A21" s="4" t="s">
        <v>184</v>
      </c>
      <c r="B21" s="31">
        <f>2AnnualCosts!B20</f>
        <v>0</v>
      </c>
      <c r="C21" s="18"/>
      <c r="D21" s="69" t="s">
        <v>232</v>
      </c>
      <c r="E21" s="18"/>
      <c r="F21" s="4"/>
      <c r="G21" s="67">
        <f t="shared" si="0"/>
        <v>27</v>
      </c>
      <c r="H21" s="60">
        <f t="shared" si="1"/>
        <v>0</v>
      </c>
    </row>
    <row r="22" spans="1:8" ht="12.75">
      <c r="A22" s="4" t="s">
        <v>186</v>
      </c>
      <c r="B22" s="138">
        <f>2AnnualCosts!B21</f>
        <v>0</v>
      </c>
      <c r="C22" s="18"/>
      <c r="D22" s="69"/>
      <c r="E22" s="18"/>
      <c r="F22" s="4"/>
      <c r="G22" s="67">
        <f t="shared" si="0"/>
        <v>28</v>
      </c>
      <c r="H22" s="60">
        <f t="shared" si="1"/>
        <v>0</v>
      </c>
    </row>
    <row r="23" spans="1:8" ht="12.75">
      <c r="A23" s="163" t="s">
        <v>85</v>
      </c>
      <c r="B23" s="7">
        <f>SUM(B16:B22)</f>
        <v>0</v>
      </c>
      <c r="C23" t="s">
        <v>159</v>
      </c>
      <c r="D23" s="4"/>
      <c r="E23" s="18"/>
      <c r="F23" s="4"/>
      <c r="G23" s="67">
        <f t="shared" si="0"/>
        <v>29</v>
      </c>
      <c r="H23" s="60">
        <f t="shared" si="1"/>
        <v>0</v>
      </c>
    </row>
    <row r="24" spans="1:8" ht="14.25" hidden="1">
      <c r="A24" s="19" t="s">
        <v>29</v>
      </c>
      <c r="B24" s="4"/>
      <c r="C24" s="140">
        <v>0</v>
      </c>
      <c r="D24" s="4"/>
      <c r="F24" s="4"/>
      <c r="G24" s="67">
        <f t="shared" si="0"/>
        <v>30</v>
      </c>
      <c r="H24" s="60">
        <f t="shared" si="1"/>
        <v>0</v>
      </c>
    </row>
    <row r="25" spans="1:8" ht="12.75">
      <c r="A25" s="19" t="s">
        <v>22</v>
      </c>
      <c r="B25" s="4"/>
      <c r="C25" s="10"/>
      <c r="D25" s="4" t="s">
        <v>23</v>
      </c>
      <c r="E25" s="4"/>
      <c r="F25" s="4"/>
      <c r="G25" s="67">
        <f t="shared" si="0"/>
        <v>31</v>
      </c>
      <c r="H25" s="60">
        <f t="shared" si="1"/>
        <v>0</v>
      </c>
    </row>
    <row r="26" spans="1:8" ht="12.75">
      <c r="A26" s="19" t="s">
        <v>267</v>
      </c>
      <c r="B26" s="4"/>
      <c r="D26" s="4"/>
      <c r="E26" s="4"/>
      <c r="F26" s="4"/>
      <c r="G26" s="67">
        <f t="shared" si="0"/>
        <v>32</v>
      </c>
      <c r="H26" s="60">
        <f t="shared" si="1"/>
        <v>0</v>
      </c>
    </row>
    <row r="27" spans="1:8" ht="13.5" thickBot="1">
      <c r="A27" s="4" t="s">
        <v>158</v>
      </c>
      <c r="B27" s="210">
        <f>-PV(C24,C25,B23)</f>
        <v>0</v>
      </c>
      <c r="C27" s="4" t="s">
        <v>160</v>
      </c>
      <c r="D27" s="67"/>
      <c r="E27" s="4"/>
      <c r="F27" s="4"/>
      <c r="G27" s="67">
        <f t="shared" si="0"/>
        <v>33</v>
      </c>
      <c r="H27" s="60">
        <f t="shared" si="1"/>
        <v>0</v>
      </c>
    </row>
    <row r="28" spans="1:8" ht="13.5" thickTop="1">
      <c r="A28" s="182" t="s">
        <v>268</v>
      </c>
      <c r="B28" s="71">
        <f>B14+B27</f>
        <v>0</v>
      </c>
      <c r="C28" s="4"/>
      <c r="D28" s="4"/>
      <c r="E28" s="4"/>
      <c r="F28" s="4"/>
      <c r="G28" s="67">
        <f t="shared" si="0"/>
        <v>34</v>
      </c>
      <c r="H28" s="60">
        <f t="shared" si="1"/>
        <v>0</v>
      </c>
    </row>
    <row r="29" spans="1:8" ht="12.75">
      <c r="A29" s="4"/>
      <c r="B29" s="4"/>
      <c r="C29" s="4"/>
      <c r="D29" s="4"/>
      <c r="E29" s="67"/>
      <c r="F29" s="4"/>
      <c r="G29" s="67">
        <f t="shared" si="0"/>
        <v>35</v>
      </c>
      <c r="H29" s="60">
        <f t="shared" si="1"/>
        <v>0</v>
      </c>
    </row>
    <row r="30" spans="1:8" ht="15.75">
      <c r="A30" s="254" t="s">
        <v>269</v>
      </c>
      <c r="B30" s="273"/>
      <c r="C30" s="4"/>
      <c r="D30" s="67"/>
      <c r="E30" s="67"/>
      <c r="F30" s="4"/>
      <c r="G30" s="67">
        <f t="shared" si="0"/>
        <v>36</v>
      </c>
      <c r="H30" s="60">
        <f t="shared" si="1"/>
        <v>0</v>
      </c>
    </row>
    <row r="31" spans="1:8" ht="16.5" thickBot="1">
      <c r="A31" s="295" t="s">
        <v>285</v>
      </c>
      <c r="B31" s="273"/>
      <c r="C31" s="336"/>
      <c r="D31" s="336"/>
      <c r="E31" s="335" t="str">
        <f>IF(AND(C31&lt;B28+0.5,C31&gt;B28-0.5),"This is Correct!","Try again.")</f>
        <v>This is Correct!</v>
      </c>
      <c r="F31" s="335"/>
      <c r="G31" s="67">
        <f t="shared" si="0"/>
        <v>37</v>
      </c>
      <c r="H31" s="60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67">
        <f t="shared" si="0"/>
        <v>38</v>
      </c>
      <c r="H32" s="60">
        <f t="shared" si="1"/>
        <v>0</v>
      </c>
    </row>
    <row r="33" spans="1:8" ht="12.75">
      <c r="A33" s="4"/>
      <c r="B33" s="4"/>
      <c r="C33" s="4"/>
      <c r="D33" s="4"/>
      <c r="E33" s="4"/>
      <c r="F33" s="4"/>
      <c r="G33" s="67">
        <f t="shared" si="0"/>
        <v>39</v>
      </c>
      <c r="H33" s="60">
        <f t="shared" si="1"/>
        <v>0</v>
      </c>
    </row>
    <row r="34" spans="1:8" ht="12.75">
      <c r="A34" s="4"/>
      <c r="B34" s="4"/>
      <c r="C34" s="4"/>
      <c r="D34" s="4"/>
      <c r="E34" s="4"/>
      <c r="F34" s="4"/>
      <c r="G34" s="67">
        <f t="shared" si="0"/>
        <v>40</v>
      </c>
      <c r="H34" s="60">
        <f t="shared" si="1"/>
        <v>0</v>
      </c>
    </row>
    <row r="35" spans="1:8" ht="12.75">
      <c r="A35" s="4"/>
      <c r="B35" s="4"/>
      <c r="C35" s="4"/>
      <c r="D35" s="4"/>
      <c r="E35" s="4"/>
      <c r="F35" s="4"/>
      <c r="G35" s="67">
        <f t="shared" si="0"/>
        <v>41</v>
      </c>
      <c r="H35" s="60">
        <f t="shared" si="1"/>
        <v>0</v>
      </c>
    </row>
    <row r="36" spans="1:8" ht="12.75">
      <c r="A36" s="4"/>
      <c r="B36" s="4"/>
      <c r="C36" s="4"/>
      <c r="D36" s="4"/>
      <c r="E36" s="4"/>
      <c r="F36" s="4"/>
      <c r="G36" s="67">
        <f t="shared" si="0"/>
        <v>42</v>
      </c>
      <c r="H36" s="60">
        <f t="shared" si="1"/>
        <v>0</v>
      </c>
    </row>
    <row r="37" spans="1:8" ht="12.75">
      <c r="A37" s="4"/>
      <c r="B37" s="4"/>
      <c r="C37" s="4"/>
      <c r="D37" s="4"/>
      <c r="E37" s="4"/>
      <c r="F37" s="4"/>
      <c r="G37" s="67">
        <f t="shared" si="0"/>
        <v>43</v>
      </c>
      <c r="H37" s="60">
        <f t="shared" si="1"/>
        <v>0</v>
      </c>
    </row>
    <row r="38" spans="1:8" ht="12.75">
      <c r="A38" s="4"/>
      <c r="B38" s="4"/>
      <c r="C38" s="4"/>
      <c r="D38" s="4"/>
      <c r="E38" s="4"/>
      <c r="F38" s="4"/>
      <c r="G38" s="67">
        <f t="shared" si="0"/>
        <v>44</v>
      </c>
      <c r="H38" s="60">
        <f t="shared" si="1"/>
        <v>0</v>
      </c>
    </row>
    <row r="39" spans="1:8" ht="12.75">
      <c r="A39" s="4"/>
      <c r="B39" s="4"/>
      <c r="C39" s="4"/>
      <c r="D39" s="4"/>
      <c r="E39" s="4"/>
      <c r="F39" s="4"/>
      <c r="G39" s="67">
        <f t="shared" si="0"/>
        <v>45</v>
      </c>
      <c r="H39" s="60">
        <f t="shared" si="1"/>
        <v>0</v>
      </c>
    </row>
    <row r="40" spans="1:8" ht="12.75">
      <c r="A40" s="4"/>
      <c r="B40" s="4"/>
      <c r="C40" s="4"/>
      <c r="D40" s="4"/>
      <c r="E40" s="4"/>
      <c r="F40" s="4"/>
      <c r="G40" s="67">
        <f t="shared" si="0"/>
        <v>46</v>
      </c>
      <c r="H40" s="60">
        <f t="shared" si="1"/>
        <v>0</v>
      </c>
    </row>
    <row r="41" spans="1:8" ht="12.75">
      <c r="A41" s="4"/>
      <c r="B41" s="4"/>
      <c r="C41" s="4"/>
      <c r="D41" s="4"/>
      <c r="E41" s="4"/>
      <c r="F41" s="4"/>
      <c r="G41" s="67">
        <f t="shared" si="0"/>
        <v>47</v>
      </c>
      <c r="H41" s="60">
        <f t="shared" si="1"/>
        <v>0</v>
      </c>
    </row>
    <row r="42" spans="1:8" ht="12.75">
      <c r="A42" s="4"/>
      <c r="B42" s="4"/>
      <c r="C42" s="4"/>
      <c r="D42" s="4"/>
      <c r="E42" s="4"/>
      <c r="F42" s="4"/>
      <c r="G42" s="67">
        <f t="shared" si="0"/>
        <v>48</v>
      </c>
      <c r="H42" s="60">
        <f t="shared" si="1"/>
        <v>0</v>
      </c>
    </row>
    <row r="43" spans="1:8" ht="12.75">
      <c r="A43" s="4"/>
      <c r="B43" s="4"/>
      <c r="C43" s="4"/>
      <c r="D43" s="4"/>
      <c r="E43" s="4"/>
      <c r="F43" s="4"/>
      <c r="G43" s="67">
        <f t="shared" si="0"/>
        <v>49</v>
      </c>
      <c r="H43" s="60">
        <f t="shared" si="1"/>
        <v>0</v>
      </c>
    </row>
    <row r="44" spans="1:8" ht="12.75">
      <c r="A44" s="4"/>
      <c r="B44" s="4"/>
      <c r="C44" s="4"/>
      <c r="D44" s="4"/>
      <c r="E44" s="4"/>
      <c r="F44" s="4"/>
      <c r="G44" s="67">
        <f t="shared" si="0"/>
        <v>50</v>
      </c>
      <c r="H44" s="60">
        <f t="shared" si="1"/>
        <v>0</v>
      </c>
    </row>
    <row r="45" spans="1:8" ht="12.75">
      <c r="A45" s="4"/>
      <c r="B45" s="4"/>
      <c r="C45" s="4"/>
      <c r="D45" s="4"/>
      <c r="E45" s="4"/>
      <c r="F45" s="4"/>
      <c r="G45" s="67">
        <f t="shared" si="0"/>
        <v>51</v>
      </c>
      <c r="H45" s="60">
        <f t="shared" si="1"/>
        <v>0</v>
      </c>
    </row>
    <row r="46" spans="1:8" ht="12.75">
      <c r="A46" s="4"/>
      <c r="B46" s="4"/>
      <c r="C46" s="4"/>
      <c r="D46" s="4"/>
      <c r="E46" s="4"/>
      <c r="F46" s="4"/>
      <c r="G46" s="67">
        <f t="shared" si="0"/>
        <v>52</v>
      </c>
      <c r="H46" s="60">
        <f t="shared" si="1"/>
        <v>0</v>
      </c>
    </row>
    <row r="47" spans="1:8" ht="12.75">
      <c r="A47" s="4"/>
      <c r="B47" s="4"/>
      <c r="C47" s="4"/>
      <c r="D47" s="4"/>
      <c r="E47" s="4"/>
      <c r="F47" s="4"/>
      <c r="G47" s="67">
        <f t="shared" si="0"/>
        <v>53</v>
      </c>
      <c r="H47" s="60">
        <f t="shared" si="1"/>
        <v>0</v>
      </c>
    </row>
    <row r="48" spans="1:8" ht="12.75">
      <c r="A48" s="4"/>
      <c r="B48" s="4"/>
      <c r="C48" s="4"/>
      <c r="D48" s="4"/>
      <c r="E48" s="4"/>
      <c r="F48" s="4"/>
      <c r="G48" s="67">
        <f t="shared" si="0"/>
        <v>54</v>
      </c>
      <c r="H48" s="60">
        <f t="shared" si="1"/>
        <v>0</v>
      </c>
    </row>
    <row r="49" spans="1:8" ht="12.75">
      <c r="A49" s="4"/>
      <c r="B49" s="4"/>
      <c r="C49" s="4"/>
      <c r="D49" s="4"/>
      <c r="E49" s="4"/>
      <c r="F49" s="4"/>
      <c r="G49" s="67">
        <f t="shared" si="0"/>
        <v>55</v>
      </c>
      <c r="H49" s="60">
        <f t="shared" si="1"/>
        <v>0</v>
      </c>
    </row>
    <row r="50" spans="1:8" ht="12.75">
      <c r="A50" s="4"/>
      <c r="B50" s="4"/>
      <c r="C50" s="4"/>
      <c r="D50" s="4"/>
      <c r="E50" s="4"/>
      <c r="F50" s="4"/>
      <c r="G50" s="67">
        <f t="shared" si="0"/>
        <v>56</v>
      </c>
      <c r="H50" s="60">
        <f t="shared" si="1"/>
        <v>0</v>
      </c>
    </row>
    <row r="51" spans="1:8" ht="12.75">
      <c r="A51" s="4" t="s">
        <v>169</v>
      </c>
      <c r="B51" s="4"/>
      <c r="C51" s="4"/>
      <c r="D51" s="4"/>
      <c r="E51" s="4"/>
      <c r="F51" s="4"/>
      <c r="G51" s="67">
        <f t="shared" si="0"/>
        <v>57</v>
      </c>
      <c r="H51" s="60">
        <f t="shared" si="1"/>
        <v>0</v>
      </c>
    </row>
    <row r="52" spans="2:8" ht="12.75">
      <c r="B52" s="4"/>
      <c r="C52" s="4"/>
      <c r="D52" s="4"/>
      <c r="E52" s="4"/>
      <c r="F52" s="4"/>
      <c r="G52" s="67">
        <f t="shared" si="0"/>
        <v>58</v>
      </c>
      <c r="H52" s="60">
        <f t="shared" si="1"/>
        <v>0</v>
      </c>
    </row>
    <row r="53" spans="7:8" ht="12.75">
      <c r="G53" s="67">
        <f aca="true" t="shared" si="2" ref="G53:G67">G52+1</f>
        <v>59</v>
      </c>
      <c r="H53" s="60">
        <f t="shared" si="1"/>
        <v>0</v>
      </c>
    </row>
    <row r="54" spans="7:8" ht="12.75">
      <c r="G54" s="67">
        <f t="shared" si="2"/>
        <v>60</v>
      </c>
      <c r="H54" s="60">
        <f t="shared" si="1"/>
        <v>0</v>
      </c>
    </row>
    <row r="55" spans="7:8" ht="12.75">
      <c r="G55" s="67">
        <f t="shared" si="2"/>
        <v>61</v>
      </c>
      <c r="H55" s="60">
        <f t="shared" si="1"/>
        <v>0</v>
      </c>
    </row>
    <row r="56" spans="7:8" ht="12.75">
      <c r="G56" s="67">
        <f t="shared" si="2"/>
        <v>62</v>
      </c>
      <c r="H56" s="60">
        <f t="shared" si="1"/>
        <v>0</v>
      </c>
    </row>
    <row r="57" spans="7:8" ht="12.75">
      <c r="G57" s="67">
        <f t="shared" si="2"/>
        <v>63</v>
      </c>
      <c r="H57" s="60">
        <f t="shared" si="1"/>
        <v>0</v>
      </c>
    </row>
    <row r="58" spans="7:8" ht="12.75">
      <c r="G58" s="67">
        <f t="shared" si="2"/>
        <v>64</v>
      </c>
      <c r="H58" s="60">
        <f t="shared" si="1"/>
        <v>0</v>
      </c>
    </row>
    <row r="59" spans="7:8" ht="12.75">
      <c r="G59" s="67">
        <f t="shared" si="2"/>
        <v>65</v>
      </c>
      <c r="H59" s="60">
        <f t="shared" si="1"/>
        <v>0</v>
      </c>
    </row>
    <row r="60" spans="7:8" ht="12.75">
      <c r="G60" s="67">
        <f t="shared" si="2"/>
        <v>66</v>
      </c>
      <c r="H60" s="60">
        <f t="shared" si="1"/>
        <v>0</v>
      </c>
    </row>
    <row r="61" spans="7:8" ht="12.75">
      <c r="G61" s="67">
        <f t="shared" si="2"/>
        <v>67</v>
      </c>
      <c r="H61" s="60">
        <f t="shared" si="1"/>
        <v>0</v>
      </c>
    </row>
    <row r="62" spans="7:8" ht="12.75">
      <c r="G62" s="67">
        <f t="shared" si="2"/>
        <v>68</v>
      </c>
      <c r="H62" s="60">
        <f t="shared" si="1"/>
        <v>0</v>
      </c>
    </row>
    <row r="63" spans="7:8" ht="12.75">
      <c r="G63" s="67">
        <f t="shared" si="2"/>
        <v>69</v>
      </c>
      <c r="H63" s="60">
        <f t="shared" si="1"/>
        <v>0</v>
      </c>
    </row>
    <row r="64" spans="7:8" ht="12.75">
      <c r="G64" s="67">
        <f t="shared" si="2"/>
        <v>70</v>
      </c>
      <c r="H64" s="60">
        <f t="shared" si="1"/>
        <v>0</v>
      </c>
    </row>
    <row r="65" spans="7:8" ht="12.75">
      <c r="G65" s="67">
        <f t="shared" si="2"/>
        <v>71</v>
      </c>
      <c r="H65" s="60">
        <f t="shared" si="1"/>
        <v>0</v>
      </c>
    </row>
    <row r="66" spans="7:8" ht="12.75">
      <c r="G66" s="67">
        <f t="shared" si="2"/>
        <v>72</v>
      </c>
      <c r="H66" s="60">
        <f t="shared" si="1"/>
        <v>0</v>
      </c>
    </row>
    <row r="67" spans="7:8" ht="12.75">
      <c r="G67" s="67">
        <f t="shared" si="2"/>
        <v>73</v>
      </c>
      <c r="H67" s="60">
        <f t="shared" si="1"/>
        <v>0</v>
      </c>
    </row>
  </sheetData>
  <mergeCells count="4">
    <mergeCell ref="A1:D1"/>
    <mergeCell ref="D3:E3"/>
    <mergeCell ref="C31:D31"/>
    <mergeCell ref="E31:F31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B3" sqref="B3:C3"/>
    </sheetView>
  </sheetViews>
  <sheetFormatPr defaultColWidth="9.140625" defaultRowHeight="12.75"/>
  <cols>
    <col min="1" max="1" width="20.7109375" style="0" customWidth="1"/>
    <col min="2" max="2" width="10.140625" style="0" bestFit="1" customWidth="1"/>
    <col min="3" max="3" width="2.7109375" style="0" customWidth="1"/>
    <col min="4" max="6" width="8.7109375" style="0" customWidth="1"/>
    <col min="7" max="8" width="10.7109375" style="0" customWidth="1"/>
  </cols>
  <sheetData>
    <row r="1" spans="1:9" ht="12.75">
      <c r="A1" s="338" t="s">
        <v>201</v>
      </c>
      <c r="B1" s="338"/>
      <c r="C1" s="4"/>
      <c r="D1" s="18"/>
      <c r="E1" s="4"/>
      <c r="F1" s="4"/>
      <c r="G1" s="4"/>
      <c r="H1" s="4"/>
      <c r="I1" s="4"/>
    </row>
    <row r="2" spans="1:9" ht="15.75">
      <c r="A2" s="339" t="s">
        <v>255</v>
      </c>
      <c r="B2" s="340"/>
      <c r="C2" s="340"/>
      <c r="D2" s="340"/>
      <c r="E2" s="340"/>
      <c r="F2" s="340"/>
      <c r="G2" s="340"/>
      <c r="H2" s="340"/>
      <c r="I2" s="198"/>
    </row>
    <row r="3" spans="1:9" ht="16.5" thickBot="1">
      <c r="A3" s="302" t="s">
        <v>233</v>
      </c>
      <c r="B3" s="341"/>
      <c r="C3" s="341"/>
      <c r="D3" s="200"/>
      <c r="E3" s="335" t="b">
        <f>OR(EXACT(B3,"Medicaid"),EXACT(B3,"medicaid"))</f>
        <v>0</v>
      </c>
      <c r="F3" s="335"/>
      <c r="G3" s="198"/>
      <c r="H3" s="198"/>
      <c r="I3" s="198"/>
    </row>
    <row r="4" spans="1:9" ht="12.75">
      <c r="A4" s="194"/>
      <c r="B4" s="200"/>
      <c r="C4" s="198"/>
      <c r="D4" s="200"/>
      <c r="E4" s="198"/>
      <c r="F4" s="198"/>
      <c r="G4" s="198"/>
      <c r="H4" s="198"/>
      <c r="I4" s="198"/>
    </row>
    <row r="5" spans="1:9" ht="12.75">
      <c r="A5" s="195"/>
      <c r="B5" s="200"/>
      <c r="C5" s="198"/>
      <c r="D5" s="200"/>
      <c r="E5" s="198"/>
      <c r="F5" s="198"/>
      <c r="G5" s="198"/>
      <c r="H5" s="198"/>
      <c r="I5" s="198"/>
    </row>
    <row r="6" spans="1:9" ht="12.75">
      <c r="A6" s="194"/>
      <c r="B6" s="201"/>
      <c r="C6" s="198"/>
      <c r="D6" s="200" t="s">
        <v>174</v>
      </c>
      <c r="E6" s="198" t="s">
        <v>187</v>
      </c>
      <c r="F6" s="198" t="s">
        <v>224</v>
      </c>
      <c r="G6" s="198" t="s">
        <v>175</v>
      </c>
      <c r="H6" s="198" t="s">
        <v>85</v>
      </c>
      <c r="I6" s="198"/>
    </row>
    <row r="7" spans="1:9" ht="12.75">
      <c r="A7" s="194"/>
      <c r="B7" s="201"/>
      <c r="C7" s="198">
        <v>13</v>
      </c>
      <c r="D7" s="201">
        <f>H7-SUM(E7:G7)</f>
        <v>0</v>
      </c>
      <c r="E7" s="199">
        <f>0.5*H7</f>
        <v>0</v>
      </c>
      <c r="F7" s="199">
        <f>0.3*H7</f>
        <v>0</v>
      </c>
      <c r="G7" s="198">
        <v>0</v>
      </c>
      <c r="H7" s="199">
        <f>3LifeCare!H7</f>
        <v>0</v>
      </c>
      <c r="I7" s="198"/>
    </row>
    <row r="8" spans="1:9" ht="12.75">
      <c r="A8" s="194"/>
      <c r="B8" s="201"/>
      <c r="C8" s="198">
        <v>14</v>
      </c>
      <c r="D8" s="201">
        <f aca="true" t="shared" si="0" ref="D8:D37">H8-SUM(E8:G8)</f>
        <v>0</v>
      </c>
      <c r="E8" s="199">
        <f>0.5*H8</f>
        <v>0</v>
      </c>
      <c r="F8" s="199">
        <f>0.3*H8</f>
        <v>0</v>
      </c>
      <c r="G8" s="198">
        <v>0</v>
      </c>
      <c r="H8" s="199">
        <f>3LifeCare!H8</f>
        <v>0</v>
      </c>
      <c r="I8" s="198"/>
    </row>
    <row r="9" spans="1:9" ht="12.75">
      <c r="A9" s="194"/>
      <c r="B9" s="201"/>
      <c r="C9" s="198">
        <f>C8+1</f>
        <v>15</v>
      </c>
      <c r="D9" s="201">
        <f t="shared" si="0"/>
        <v>0</v>
      </c>
      <c r="E9" s="199">
        <f>0.5*H9</f>
        <v>0</v>
      </c>
      <c r="F9" s="199">
        <f>0.3*H9</f>
        <v>0</v>
      </c>
      <c r="G9" s="198">
        <v>0</v>
      </c>
      <c r="H9" s="199">
        <f>3LifeCare!H9</f>
        <v>0</v>
      </c>
      <c r="I9" s="198"/>
    </row>
    <row r="10" spans="1:9" ht="12.75">
      <c r="A10" s="194"/>
      <c r="B10" s="201"/>
      <c r="C10" s="198">
        <f aca="true" t="shared" si="1" ref="C10:C52">C9+1</f>
        <v>16</v>
      </c>
      <c r="D10" s="201">
        <f t="shared" si="0"/>
        <v>0</v>
      </c>
      <c r="E10" s="199">
        <f>0.5*H10</f>
        <v>0</v>
      </c>
      <c r="F10" s="199">
        <f>0.3*H10</f>
        <v>0</v>
      </c>
      <c r="G10" s="198">
        <v>0</v>
      </c>
      <c r="H10" s="199">
        <f>3LifeCare!H10</f>
        <v>0</v>
      </c>
      <c r="I10" s="198"/>
    </row>
    <row r="11" spans="1:9" ht="12.75">
      <c r="A11" s="194"/>
      <c r="B11" s="201"/>
      <c r="C11" s="198">
        <f t="shared" si="1"/>
        <v>17</v>
      </c>
      <c r="D11" s="201">
        <f t="shared" si="0"/>
        <v>0</v>
      </c>
      <c r="E11" s="199">
        <f>0.5*H11</f>
        <v>0</v>
      </c>
      <c r="F11" s="199">
        <f>0.3*H11</f>
        <v>0</v>
      </c>
      <c r="G11" s="198">
        <v>0</v>
      </c>
      <c r="H11" s="199">
        <f>3LifeCare!H11</f>
        <v>0</v>
      </c>
      <c r="I11" s="198"/>
    </row>
    <row r="12" spans="1:9" ht="12.75">
      <c r="A12" s="194"/>
      <c r="B12" s="201"/>
      <c r="C12" s="198">
        <f t="shared" si="1"/>
        <v>18</v>
      </c>
      <c r="D12" s="201">
        <f t="shared" si="0"/>
        <v>0</v>
      </c>
      <c r="E12" s="199">
        <f aca="true" t="shared" si="2" ref="E12:F15">E11</f>
        <v>0</v>
      </c>
      <c r="F12" s="199">
        <f t="shared" si="2"/>
        <v>0</v>
      </c>
      <c r="G12" s="199">
        <f>0.9*(H12-H$11)</f>
        <v>0</v>
      </c>
      <c r="H12" s="199">
        <f>3LifeCare!H12</f>
        <v>0</v>
      </c>
      <c r="I12" s="198"/>
    </row>
    <row r="13" spans="1:9" ht="12.75">
      <c r="A13" s="195"/>
      <c r="B13" s="201"/>
      <c r="C13" s="198">
        <f t="shared" si="1"/>
        <v>19</v>
      </c>
      <c r="D13" s="201">
        <f t="shared" si="0"/>
        <v>0</v>
      </c>
      <c r="E13" s="199">
        <f t="shared" si="2"/>
        <v>0</v>
      </c>
      <c r="F13" s="199">
        <f t="shared" si="2"/>
        <v>0</v>
      </c>
      <c r="G13" s="199">
        <f aca="true" t="shared" si="3" ref="G13:G67">0.9*(H13-H$11)</f>
        <v>0</v>
      </c>
      <c r="H13" s="199">
        <f>3LifeCare!H13</f>
        <v>0</v>
      </c>
      <c r="I13" s="198"/>
    </row>
    <row r="14" spans="1:9" ht="12.75">
      <c r="A14" s="196"/>
      <c r="B14" s="201"/>
      <c r="C14" s="198">
        <f t="shared" si="1"/>
        <v>20</v>
      </c>
      <c r="D14" s="201">
        <f t="shared" si="0"/>
        <v>0</v>
      </c>
      <c r="E14" s="199">
        <f t="shared" si="2"/>
        <v>0</v>
      </c>
      <c r="F14" s="199">
        <f t="shared" si="2"/>
        <v>0</v>
      </c>
      <c r="G14" s="199">
        <f t="shared" si="3"/>
        <v>0</v>
      </c>
      <c r="H14" s="199">
        <f>3LifeCare!H14</f>
        <v>0</v>
      </c>
      <c r="I14" s="198"/>
    </row>
    <row r="15" spans="1:9" ht="12.75">
      <c r="A15" s="195"/>
      <c r="B15" s="204"/>
      <c r="C15" s="198">
        <f t="shared" si="1"/>
        <v>21</v>
      </c>
      <c r="D15" s="201">
        <f t="shared" si="0"/>
        <v>0</v>
      </c>
      <c r="E15" s="199">
        <f t="shared" si="2"/>
        <v>0</v>
      </c>
      <c r="F15" s="199">
        <f t="shared" si="2"/>
        <v>0</v>
      </c>
      <c r="G15" s="199">
        <f t="shared" si="3"/>
        <v>0</v>
      </c>
      <c r="H15" s="199">
        <f>3LifeCare!H15</f>
        <v>0</v>
      </c>
      <c r="I15" s="198"/>
    </row>
    <row r="16" spans="1:9" ht="12.75">
      <c r="A16" s="194"/>
      <c r="B16" s="201"/>
      <c r="C16" s="198">
        <f t="shared" si="1"/>
        <v>22</v>
      </c>
      <c r="D16" s="201">
        <f t="shared" si="0"/>
        <v>0</v>
      </c>
      <c r="E16" s="199">
        <f aca="true" t="shared" si="4" ref="E16:E67">E15</f>
        <v>0</v>
      </c>
      <c r="F16" s="199">
        <f aca="true" t="shared" si="5" ref="F16:F67">F15</f>
        <v>0</v>
      </c>
      <c r="G16" s="199">
        <f t="shared" si="3"/>
        <v>0</v>
      </c>
      <c r="H16" s="199">
        <f>3LifeCare!H16</f>
        <v>0</v>
      </c>
      <c r="I16" s="198"/>
    </row>
    <row r="17" spans="1:9" ht="12.75">
      <c r="A17" s="194"/>
      <c r="B17" s="201"/>
      <c r="C17" s="198">
        <f t="shared" si="1"/>
        <v>23</v>
      </c>
      <c r="D17" s="201">
        <f t="shared" si="0"/>
        <v>0</v>
      </c>
      <c r="E17" s="199">
        <f t="shared" si="4"/>
        <v>0</v>
      </c>
      <c r="F17" s="199">
        <f t="shared" si="5"/>
        <v>0</v>
      </c>
      <c r="G17" s="199">
        <f t="shared" si="3"/>
        <v>0</v>
      </c>
      <c r="H17" s="199">
        <f>3LifeCare!H17</f>
        <v>0</v>
      </c>
      <c r="I17" s="198"/>
    </row>
    <row r="18" spans="1:9" ht="12.75">
      <c r="A18" s="194"/>
      <c r="B18" s="201"/>
      <c r="C18" s="198">
        <f t="shared" si="1"/>
        <v>24</v>
      </c>
      <c r="D18" s="201">
        <f t="shared" si="0"/>
        <v>0</v>
      </c>
      <c r="E18" s="199">
        <f t="shared" si="4"/>
        <v>0</v>
      </c>
      <c r="F18" s="199">
        <f t="shared" si="5"/>
        <v>0</v>
      </c>
      <c r="G18" s="199">
        <f t="shared" si="3"/>
        <v>0</v>
      </c>
      <c r="H18" s="199">
        <f>3LifeCare!H18</f>
        <v>0</v>
      </c>
      <c r="I18" s="198"/>
    </row>
    <row r="19" spans="1:9" ht="12.75">
      <c r="A19" s="194"/>
      <c r="B19" s="201"/>
      <c r="C19" s="198">
        <f t="shared" si="1"/>
        <v>25</v>
      </c>
      <c r="D19" s="201">
        <f t="shared" si="0"/>
        <v>0</v>
      </c>
      <c r="E19" s="199">
        <f t="shared" si="4"/>
        <v>0</v>
      </c>
      <c r="F19" s="199">
        <f t="shared" si="5"/>
        <v>0</v>
      </c>
      <c r="G19" s="199">
        <f t="shared" si="3"/>
        <v>0</v>
      </c>
      <c r="H19" s="199">
        <f>3LifeCare!H19</f>
        <v>0</v>
      </c>
      <c r="I19" s="198"/>
    </row>
    <row r="20" spans="1:9" ht="12.75">
      <c r="A20" s="194"/>
      <c r="B20" s="201"/>
      <c r="C20" s="198">
        <f t="shared" si="1"/>
        <v>26</v>
      </c>
      <c r="D20" s="201">
        <f t="shared" si="0"/>
        <v>0</v>
      </c>
      <c r="E20" s="199">
        <f t="shared" si="4"/>
        <v>0</v>
      </c>
      <c r="F20" s="199">
        <f t="shared" si="5"/>
        <v>0</v>
      </c>
      <c r="G20" s="199">
        <f t="shared" si="3"/>
        <v>0</v>
      </c>
      <c r="H20" s="199">
        <f>3LifeCare!H20</f>
        <v>0</v>
      </c>
      <c r="I20" s="198"/>
    </row>
    <row r="21" spans="1:9" ht="12.75">
      <c r="A21" s="194"/>
      <c r="B21" s="201"/>
      <c r="C21" s="198">
        <f t="shared" si="1"/>
        <v>27</v>
      </c>
      <c r="D21" s="201">
        <f t="shared" si="0"/>
        <v>0</v>
      </c>
      <c r="E21" s="199">
        <f t="shared" si="4"/>
        <v>0</v>
      </c>
      <c r="F21" s="199">
        <f t="shared" si="5"/>
        <v>0</v>
      </c>
      <c r="G21" s="199">
        <f t="shared" si="3"/>
        <v>0</v>
      </c>
      <c r="H21" s="199">
        <f>3LifeCare!H21</f>
        <v>0</v>
      </c>
      <c r="I21" s="198"/>
    </row>
    <row r="22" spans="1:9" ht="12.75">
      <c r="A22" s="194"/>
      <c r="B22" s="201"/>
      <c r="C22" s="198">
        <f t="shared" si="1"/>
        <v>28</v>
      </c>
      <c r="D22" s="201">
        <f t="shared" si="0"/>
        <v>0</v>
      </c>
      <c r="E22" s="199">
        <f t="shared" si="4"/>
        <v>0</v>
      </c>
      <c r="F22" s="199">
        <f t="shared" si="5"/>
        <v>0</v>
      </c>
      <c r="G22" s="199">
        <f t="shared" si="3"/>
        <v>0</v>
      </c>
      <c r="H22" s="199">
        <f>3LifeCare!H22</f>
        <v>0</v>
      </c>
      <c r="I22" s="198"/>
    </row>
    <row r="23" spans="1:9" ht="12.75">
      <c r="A23" s="194"/>
      <c r="B23" s="201"/>
      <c r="C23" s="198">
        <f t="shared" si="1"/>
        <v>29</v>
      </c>
      <c r="D23" s="201">
        <f t="shared" si="0"/>
        <v>0</v>
      </c>
      <c r="E23" s="199">
        <f t="shared" si="4"/>
        <v>0</v>
      </c>
      <c r="F23" s="199">
        <f t="shared" si="5"/>
        <v>0</v>
      </c>
      <c r="G23" s="199">
        <f t="shared" si="3"/>
        <v>0</v>
      </c>
      <c r="H23" s="199">
        <f>3LifeCare!H23</f>
        <v>0</v>
      </c>
      <c r="I23" s="198"/>
    </row>
    <row r="24" spans="1:9" ht="12.75">
      <c r="A24" s="196"/>
      <c r="B24" s="201"/>
      <c r="C24" s="198">
        <f t="shared" si="1"/>
        <v>30</v>
      </c>
      <c r="D24" s="201">
        <f t="shared" si="0"/>
        <v>0</v>
      </c>
      <c r="E24" s="199">
        <f t="shared" si="4"/>
        <v>0</v>
      </c>
      <c r="F24" s="199">
        <f t="shared" si="5"/>
        <v>0</v>
      </c>
      <c r="G24" s="199">
        <f t="shared" si="3"/>
        <v>0</v>
      </c>
      <c r="H24" s="199">
        <f>3LifeCare!H24</f>
        <v>0</v>
      </c>
      <c r="I24" s="198"/>
    </row>
    <row r="25" spans="1:9" ht="12.75">
      <c r="A25" s="197"/>
      <c r="B25" s="198"/>
      <c r="C25" s="198">
        <f t="shared" si="1"/>
        <v>31</v>
      </c>
      <c r="D25" s="201">
        <f t="shared" si="0"/>
        <v>0</v>
      </c>
      <c r="E25" s="199">
        <f t="shared" si="4"/>
        <v>0</v>
      </c>
      <c r="F25" s="199">
        <f t="shared" si="5"/>
        <v>0</v>
      </c>
      <c r="G25" s="199">
        <f t="shared" si="3"/>
        <v>0</v>
      </c>
      <c r="H25" s="199">
        <f>3LifeCare!H25</f>
        <v>0</v>
      </c>
      <c r="I25" s="198"/>
    </row>
    <row r="26" spans="1:9" ht="12.75">
      <c r="A26" s="197"/>
      <c r="B26" s="198"/>
      <c r="C26" s="198">
        <f t="shared" si="1"/>
        <v>32</v>
      </c>
      <c r="D26" s="201">
        <f t="shared" si="0"/>
        <v>0</v>
      </c>
      <c r="E26" s="199">
        <f t="shared" si="4"/>
        <v>0</v>
      </c>
      <c r="F26" s="199">
        <f t="shared" si="5"/>
        <v>0</v>
      </c>
      <c r="G26" s="199">
        <f t="shared" si="3"/>
        <v>0</v>
      </c>
      <c r="H26" s="199">
        <f>3LifeCare!H26</f>
        <v>0</v>
      </c>
      <c r="I26" s="198"/>
    </row>
    <row r="27" spans="1:9" ht="12.75">
      <c r="A27" s="197"/>
      <c r="B27" s="198"/>
      <c r="C27" s="198">
        <f t="shared" si="1"/>
        <v>33</v>
      </c>
      <c r="D27" s="201">
        <f t="shared" si="0"/>
        <v>0</v>
      </c>
      <c r="E27" s="199">
        <f t="shared" si="4"/>
        <v>0</v>
      </c>
      <c r="F27" s="199">
        <f t="shared" si="5"/>
        <v>0</v>
      </c>
      <c r="G27" s="199">
        <f t="shared" si="3"/>
        <v>0</v>
      </c>
      <c r="H27" s="199">
        <f>3LifeCare!H27</f>
        <v>0</v>
      </c>
      <c r="I27" s="198"/>
    </row>
    <row r="28" spans="1:9" ht="12.75">
      <c r="A28" s="193"/>
      <c r="B28" s="199"/>
      <c r="C28" s="198">
        <f t="shared" si="1"/>
        <v>34</v>
      </c>
      <c r="D28" s="201">
        <f t="shared" si="0"/>
        <v>0</v>
      </c>
      <c r="E28" s="199">
        <f t="shared" si="4"/>
        <v>0</v>
      </c>
      <c r="F28" s="199">
        <f t="shared" si="5"/>
        <v>0</v>
      </c>
      <c r="G28" s="199">
        <f t="shared" si="3"/>
        <v>0</v>
      </c>
      <c r="H28" s="199">
        <f>3LifeCare!H28</f>
        <v>0</v>
      </c>
      <c r="I28" s="198"/>
    </row>
    <row r="29" spans="1:9" ht="12.75">
      <c r="A29" s="193"/>
      <c r="B29" s="198"/>
      <c r="C29" s="198">
        <f t="shared" si="1"/>
        <v>35</v>
      </c>
      <c r="D29" s="201">
        <f t="shared" si="0"/>
        <v>0</v>
      </c>
      <c r="E29" s="199">
        <f t="shared" si="4"/>
        <v>0</v>
      </c>
      <c r="F29" s="199">
        <f t="shared" si="5"/>
        <v>0</v>
      </c>
      <c r="G29" s="199">
        <f t="shared" si="3"/>
        <v>0</v>
      </c>
      <c r="H29" s="199">
        <f>3LifeCare!H29</f>
        <v>0</v>
      </c>
      <c r="I29" s="198"/>
    </row>
    <row r="30" spans="1:9" ht="12.75">
      <c r="A30" s="193"/>
      <c r="B30" s="198"/>
      <c r="C30" s="198">
        <f t="shared" si="1"/>
        <v>36</v>
      </c>
      <c r="D30" s="201">
        <f t="shared" si="0"/>
        <v>0</v>
      </c>
      <c r="E30" s="199">
        <f t="shared" si="4"/>
        <v>0</v>
      </c>
      <c r="F30" s="199">
        <f t="shared" si="5"/>
        <v>0</v>
      </c>
      <c r="G30" s="199">
        <f t="shared" si="3"/>
        <v>0</v>
      </c>
      <c r="H30" s="199">
        <f>3LifeCare!H30</f>
        <v>0</v>
      </c>
      <c r="I30" s="198"/>
    </row>
    <row r="31" spans="1:9" ht="12.75">
      <c r="A31" s="193"/>
      <c r="B31" s="198"/>
      <c r="C31" s="198">
        <f t="shared" si="1"/>
        <v>37</v>
      </c>
      <c r="D31" s="201">
        <f t="shared" si="0"/>
        <v>0</v>
      </c>
      <c r="E31" s="199">
        <f t="shared" si="4"/>
        <v>0</v>
      </c>
      <c r="F31" s="199">
        <f t="shared" si="5"/>
        <v>0</v>
      </c>
      <c r="G31" s="199">
        <f t="shared" si="3"/>
        <v>0</v>
      </c>
      <c r="H31" s="199">
        <f>3LifeCare!H31</f>
        <v>0</v>
      </c>
      <c r="I31" s="198"/>
    </row>
    <row r="32" spans="1:9" ht="12.75">
      <c r="A32" s="193"/>
      <c r="B32" s="198"/>
      <c r="C32" s="198">
        <f t="shared" si="1"/>
        <v>38</v>
      </c>
      <c r="D32" s="201">
        <f t="shared" si="0"/>
        <v>0</v>
      </c>
      <c r="E32" s="199">
        <f t="shared" si="4"/>
        <v>0</v>
      </c>
      <c r="F32" s="199">
        <f t="shared" si="5"/>
        <v>0</v>
      </c>
      <c r="G32" s="199">
        <f t="shared" si="3"/>
        <v>0</v>
      </c>
      <c r="H32" s="199">
        <f>3LifeCare!H32</f>
        <v>0</v>
      </c>
      <c r="I32" s="198"/>
    </row>
    <row r="33" spans="1:9" ht="12.75">
      <c r="A33" s="193"/>
      <c r="B33" s="198"/>
      <c r="C33" s="198">
        <f t="shared" si="1"/>
        <v>39</v>
      </c>
      <c r="D33" s="201">
        <f t="shared" si="0"/>
        <v>0</v>
      </c>
      <c r="E33" s="199">
        <f t="shared" si="4"/>
        <v>0</v>
      </c>
      <c r="F33" s="199">
        <f t="shared" si="5"/>
        <v>0</v>
      </c>
      <c r="G33" s="199">
        <f t="shared" si="3"/>
        <v>0</v>
      </c>
      <c r="H33" s="199">
        <f>3LifeCare!H33</f>
        <v>0</v>
      </c>
      <c r="I33" s="198"/>
    </row>
    <row r="34" spans="1:9" ht="12.75">
      <c r="A34" s="193"/>
      <c r="B34" s="198"/>
      <c r="C34" s="198">
        <f t="shared" si="1"/>
        <v>40</v>
      </c>
      <c r="D34" s="201">
        <f t="shared" si="0"/>
        <v>0</v>
      </c>
      <c r="E34" s="199">
        <f t="shared" si="4"/>
        <v>0</v>
      </c>
      <c r="F34" s="199">
        <f t="shared" si="5"/>
        <v>0</v>
      </c>
      <c r="G34" s="199">
        <f t="shared" si="3"/>
        <v>0</v>
      </c>
      <c r="H34" s="199">
        <f>3LifeCare!H34</f>
        <v>0</v>
      </c>
      <c r="I34" s="198"/>
    </row>
    <row r="35" spans="1:9" ht="12.75">
      <c r="A35" s="193"/>
      <c r="B35" s="198"/>
      <c r="C35" s="198">
        <f t="shared" si="1"/>
        <v>41</v>
      </c>
      <c r="D35" s="201">
        <f t="shared" si="0"/>
        <v>0</v>
      </c>
      <c r="E35" s="199">
        <f t="shared" si="4"/>
        <v>0</v>
      </c>
      <c r="F35" s="199">
        <f t="shared" si="5"/>
        <v>0</v>
      </c>
      <c r="G35" s="199">
        <f t="shared" si="3"/>
        <v>0</v>
      </c>
      <c r="H35" s="199">
        <f>3LifeCare!H35</f>
        <v>0</v>
      </c>
      <c r="I35" s="198"/>
    </row>
    <row r="36" spans="1:9" ht="12.75">
      <c r="A36" s="193"/>
      <c r="B36" s="198"/>
      <c r="C36" s="198">
        <f t="shared" si="1"/>
        <v>42</v>
      </c>
      <c r="D36" s="201">
        <f t="shared" si="0"/>
        <v>0</v>
      </c>
      <c r="E36" s="199">
        <f t="shared" si="4"/>
        <v>0</v>
      </c>
      <c r="F36" s="199">
        <f t="shared" si="5"/>
        <v>0</v>
      </c>
      <c r="G36" s="199">
        <f t="shared" si="3"/>
        <v>0</v>
      </c>
      <c r="H36" s="199">
        <f>3LifeCare!H36</f>
        <v>0</v>
      </c>
      <c r="I36" s="198"/>
    </row>
    <row r="37" spans="1:9" ht="12.75">
      <c r="A37" s="193"/>
      <c r="B37" s="198"/>
      <c r="C37" s="198">
        <f t="shared" si="1"/>
        <v>43</v>
      </c>
      <c r="D37" s="201">
        <f t="shared" si="0"/>
        <v>0</v>
      </c>
      <c r="E37" s="199">
        <f t="shared" si="4"/>
        <v>0</v>
      </c>
      <c r="F37" s="199">
        <f t="shared" si="5"/>
        <v>0</v>
      </c>
      <c r="G37" s="199">
        <f t="shared" si="3"/>
        <v>0</v>
      </c>
      <c r="H37" s="199">
        <f>3LifeCare!H37</f>
        <v>0</v>
      </c>
      <c r="I37" s="198"/>
    </row>
    <row r="38" spans="1:9" ht="12.75">
      <c r="A38" s="198" t="s">
        <v>174</v>
      </c>
      <c r="B38" s="199">
        <f>D67</f>
        <v>0</v>
      </c>
      <c r="C38" s="198">
        <f t="shared" si="1"/>
        <v>44</v>
      </c>
      <c r="D38" s="201">
        <f aca="true" t="shared" si="6" ref="D38:D67">H38-SUM(E38:G38)</f>
        <v>0</v>
      </c>
      <c r="E38" s="199">
        <f t="shared" si="4"/>
        <v>0</v>
      </c>
      <c r="F38" s="199">
        <f t="shared" si="5"/>
        <v>0</v>
      </c>
      <c r="G38" s="199">
        <f t="shared" si="3"/>
        <v>0</v>
      </c>
      <c r="H38" s="199">
        <f>3LifeCare!H38</f>
        <v>0</v>
      </c>
      <c r="I38" s="198"/>
    </row>
    <row r="39" spans="1:9" ht="12.75">
      <c r="A39" s="198" t="s">
        <v>179</v>
      </c>
      <c r="B39" s="199">
        <f>E67</f>
        <v>0</v>
      </c>
      <c r="C39" s="198">
        <f t="shared" si="1"/>
        <v>45</v>
      </c>
      <c r="D39" s="201">
        <f t="shared" si="6"/>
        <v>0</v>
      </c>
      <c r="E39" s="199">
        <f t="shared" si="4"/>
        <v>0</v>
      </c>
      <c r="F39" s="199">
        <f t="shared" si="5"/>
        <v>0</v>
      </c>
      <c r="G39" s="199">
        <f t="shared" si="3"/>
        <v>0</v>
      </c>
      <c r="H39" s="199">
        <f>3LifeCare!H39</f>
        <v>0</v>
      </c>
      <c r="I39" s="198"/>
    </row>
    <row r="40" spans="1:9" ht="12.75">
      <c r="A40" s="198" t="s">
        <v>178</v>
      </c>
      <c r="B40" s="199">
        <f>F67</f>
        <v>0</v>
      </c>
      <c r="C40" s="198">
        <f t="shared" si="1"/>
        <v>46</v>
      </c>
      <c r="D40" s="201">
        <f t="shared" si="6"/>
        <v>0</v>
      </c>
      <c r="E40" s="199">
        <f t="shared" si="4"/>
        <v>0</v>
      </c>
      <c r="F40" s="199">
        <f t="shared" si="5"/>
        <v>0</v>
      </c>
      <c r="G40" s="199">
        <f t="shared" si="3"/>
        <v>0</v>
      </c>
      <c r="H40" s="199">
        <f>3LifeCare!H40</f>
        <v>0</v>
      </c>
      <c r="I40" s="198"/>
    </row>
    <row r="41" spans="1:9" ht="12.75">
      <c r="A41" s="198" t="s">
        <v>175</v>
      </c>
      <c r="B41" s="199">
        <f>G67</f>
        <v>0</v>
      </c>
      <c r="C41" s="198">
        <f t="shared" si="1"/>
        <v>47</v>
      </c>
      <c r="D41" s="201">
        <f t="shared" si="6"/>
        <v>0</v>
      </c>
      <c r="E41" s="199">
        <f t="shared" si="4"/>
        <v>0</v>
      </c>
      <c r="F41" s="199">
        <f t="shared" si="5"/>
        <v>0</v>
      </c>
      <c r="G41" s="199">
        <f t="shared" si="3"/>
        <v>0</v>
      </c>
      <c r="H41" s="199">
        <f>3LifeCare!H41</f>
        <v>0</v>
      </c>
      <c r="I41" s="198"/>
    </row>
    <row r="42" spans="1:9" ht="12.75">
      <c r="A42" s="198"/>
      <c r="B42" s="198"/>
      <c r="C42" s="198">
        <f t="shared" si="1"/>
        <v>48</v>
      </c>
      <c r="D42" s="201">
        <f t="shared" si="6"/>
        <v>0</v>
      </c>
      <c r="E42" s="199">
        <f t="shared" si="4"/>
        <v>0</v>
      </c>
      <c r="F42" s="199">
        <f t="shared" si="5"/>
        <v>0</v>
      </c>
      <c r="G42" s="199">
        <f t="shared" si="3"/>
        <v>0</v>
      </c>
      <c r="H42" s="199">
        <f>3LifeCare!H42</f>
        <v>0</v>
      </c>
      <c r="I42" s="198"/>
    </row>
    <row r="43" spans="1:9" ht="12.75">
      <c r="A43" s="193"/>
      <c r="B43" s="198"/>
      <c r="C43" s="198">
        <f t="shared" si="1"/>
        <v>49</v>
      </c>
      <c r="D43" s="201">
        <f t="shared" si="6"/>
        <v>0</v>
      </c>
      <c r="E43" s="199">
        <f t="shared" si="4"/>
        <v>0</v>
      </c>
      <c r="F43" s="199">
        <f t="shared" si="5"/>
        <v>0</v>
      </c>
      <c r="G43" s="199">
        <f t="shared" si="3"/>
        <v>0</v>
      </c>
      <c r="H43" s="199">
        <f>3LifeCare!H43</f>
        <v>0</v>
      </c>
      <c r="I43" s="198"/>
    </row>
    <row r="44" spans="1:9" ht="12.75">
      <c r="A44" s="193"/>
      <c r="B44" s="198"/>
      <c r="C44" s="198">
        <f t="shared" si="1"/>
        <v>50</v>
      </c>
      <c r="D44" s="201">
        <f t="shared" si="6"/>
        <v>0</v>
      </c>
      <c r="E44" s="199">
        <f t="shared" si="4"/>
        <v>0</v>
      </c>
      <c r="F44" s="199">
        <f t="shared" si="5"/>
        <v>0</v>
      </c>
      <c r="G44" s="199">
        <f t="shared" si="3"/>
        <v>0</v>
      </c>
      <c r="H44" s="199">
        <f>3LifeCare!H44</f>
        <v>0</v>
      </c>
      <c r="I44" s="198"/>
    </row>
    <row r="45" spans="1:9" ht="12.75">
      <c r="A45" s="193"/>
      <c r="B45" s="198"/>
      <c r="C45" s="198">
        <f t="shared" si="1"/>
        <v>51</v>
      </c>
      <c r="D45" s="201">
        <f t="shared" si="6"/>
        <v>0</v>
      </c>
      <c r="E45" s="199">
        <f t="shared" si="4"/>
        <v>0</v>
      </c>
      <c r="F45" s="199">
        <f t="shared" si="5"/>
        <v>0</v>
      </c>
      <c r="G45" s="199">
        <f t="shared" si="3"/>
        <v>0</v>
      </c>
      <c r="H45" s="199">
        <f>3LifeCare!H45</f>
        <v>0</v>
      </c>
      <c r="I45" s="198"/>
    </row>
    <row r="46" spans="1:9" ht="12.75">
      <c r="A46" s="193"/>
      <c r="B46" s="198"/>
      <c r="C46" s="198">
        <f t="shared" si="1"/>
        <v>52</v>
      </c>
      <c r="D46" s="201">
        <f t="shared" si="6"/>
        <v>0</v>
      </c>
      <c r="E46" s="199">
        <f t="shared" si="4"/>
        <v>0</v>
      </c>
      <c r="F46" s="199">
        <f t="shared" si="5"/>
        <v>0</v>
      </c>
      <c r="G46" s="199">
        <f t="shared" si="3"/>
        <v>0</v>
      </c>
      <c r="H46" s="199">
        <f>3LifeCare!H46</f>
        <v>0</v>
      </c>
      <c r="I46" s="198"/>
    </row>
    <row r="47" spans="1:9" ht="12.75">
      <c r="A47" s="193"/>
      <c r="B47" s="198"/>
      <c r="C47" s="198">
        <f t="shared" si="1"/>
        <v>53</v>
      </c>
      <c r="D47" s="201">
        <f t="shared" si="6"/>
        <v>0</v>
      </c>
      <c r="E47" s="199">
        <f t="shared" si="4"/>
        <v>0</v>
      </c>
      <c r="F47" s="199">
        <f t="shared" si="5"/>
        <v>0</v>
      </c>
      <c r="G47" s="199">
        <f t="shared" si="3"/>
        <v>0</v>
      </c>
      <c r="H47" s="199">
        <f>3LifeCare!H47</f>
        <v>0</v>
      </c>
      <c r="I47" s="198"/>
    </row>
    <row r="48" spans="1:9" ht="12.75">
      <c r="A48" s="193" t="s">
        <v>169</v>
      </c>
      <c r="B48" s="198"/>
      <c r="C48" s="198">
        <f t="shared" si="1"/>
        <v>54</v>
      </c>
      <c r="D48" s="201">
        <f t="shared" si="6"/>
        <v>0</v>
      </c>
      <c r="E48" s="199">
        <f t="shared" si="4"/>
        <v>0</v>
      </c>
      <c r="F48" s="199">
        <f t="shared" si="5"/>
        <v>0</v>
      </c>
      <c r="G48" s="199">
        <f t="shared" si="3"/>
        <v>0</v>
      </c>
      <c r="H48" s="199">
        <f>3LifeCare!H48</f>
        <v>0</v>
      </c>
      <c r="I48" s="198"/>
    </row>
    <row r="49" spans="1:9" ht="12.75">
      <c r="A49" s="193"/>
      <c r="B49" s="198"/>
      <c r="C49" s="198">
        <f t="shared" si="1"/>
        <v>55</v>
      </c>
      <c r="D49" s="201">
        <f t="shared" si="6"/>
        <v>0</v>
      </c>
      <c r="E49" s="199">
        <f t="shared" si="4"/>
        <v>0</v>
      </c>
      <c r="F49" s="199">
        <f t="shared" si="5"/>
        <v>0</v>
      </c>
      <c r="G49" s="199">
        <f t="shared" si="3"/>
        <v>0</v>
      </c>
      <c r="H49" s="199">
        <f>3LifeCare!H49</f>
        <v>0</v>
      </c>
      <c r="I49" s="198"/>
    </row>
    <row r="50" spans="1:9" ht="12.75">
      <c r="A50" s="193"/>
      <c r="B50" s="198"/>
      <c r="C50" s="198">
        <f t="shared" si="1"/>
        <v>56</v>
      </c>
      <c r="D50" s="201">
        <f t="shared" si="6"/>
        <v>0</v>
      </c>
      <c r="E50" s="199">
        <f t="shared" si="4"/>
        <v>0</v>
      </c>
      <c r="F50" s="199">
        <f t="shared" si="5"/>
        <v>0</v>
      </c>
      <c r="G50" s="199">
        <f t="shared" si="3"/>
        <v>0</v>
      </c>
      <c r="H50" s="199">
        <f>3LifeCare!H50</f>
        <v>0</v>
      </c>
      <c r="I50" s="198"/>
    </row>
    <row r="51" spans="2:9" ht="12.75">
      <c r="B51" s="198"/>
      <c r="C51" s="198">
        <f t="shared" si="1"/>
        <v>57</v>
      </c>
      <c r="D51" s="201">
        <f t="shared" si="6"/>
        <v>0</v>
      </c>
      <c r="E51" s="199">
        <f t="shared" si="4"/>
        <v>0</v>
      </c>
      <c r="F51" s="199">
        <f t="shared" si="5"/>
        <v>0</v>
      </c>
      <c r="G51" s="199">
        <f t="shared" si="3"/>
        <v>0</v>
      </c>
      <c r="H51" s="199">
        <f>3LifeCare!H51</f>
        <v>0</v>
      </c>
      <c r="I51" s="198"/>
    </row>
    <row r="52" spans="2:9" ht="12.75">
      <c r="B52" s="198"/>
      <c r="C52" s="198">
        <f t="shared" si="1"/>
        <v>58</v>
      </c>
      <c r="D52" s="201">
        <f t="shared" si="6"/>
        <v>0</v>
      </c>
      <c r="E52" s="199">
        <f t="shared" si="4"/>
        <v>0</v>
      </c>
      <c r="F52" s="199">
        <f t="shared" si="5"/>
        <v>0</v>
      </c>
      <c r="G52" s="199">
        <f t="shared" si="3"/>
        <v>0</v>
      </c>
      <c r="H52" s="199">
        <f>3LifeCare!H52</f>
        <v>0</v>
      </c>
      <c r="I52" s="198"/>
    </row>
    <row r="53" spans="1:9" ht="12.75">
      <c r="A53" s="190"/>
      <c r="B53" s="202"/>
      <c r="C53" s="198">
        <f aca="true" t="shared" si="7" ref="C53:C61">C52+1</f>
        <v>59</v>
      </c>
      <c r="D53" s="203">
        <f t="shared" si="6"/>
        <v>0</v>
      </c>
      <c r="E53" s="203">
        <f t="shared" si="4"/>
        <v>0</v>
      </c>
      <c r="F53" s="203">
        <f t="shared" si="5"/>
        <v>0</v>
      </c>
      <c r="G53" s="203">
        <f t="shared" si="3"/>
        <v>0</v>
      </c>
      <c r="H53" s="199">
        <f>3LifeCare!H53</f>
        <v>0</v>
      </c>
      <c r="I53" s="202"/>
    </row>
    <row r="54" spans="1:9" ht="12.75">
      <c r="A54" s="190"/>
      <c r="B54" s="202"/>
      <c r="C54" s="198">
        <f t="shared" si="7"/>
        <v>60</v>
      </c>
      <c r="D54" s="203">
        <f t="shared" si="6"/>
        <v>0</v>
      </c>
      <c r="E54" s="203">
        <f t="shared" si="4"/>
        <v>0</v>
      </c>
      <c r="F54" s="203">
        <f t="shared" si="5"/>
        <v>0</v>
      </c>
      <c r="G54" s="203">
        <f t="shared" si="3"/>
        <v>0</v>
      </c>
      <c r="H54" s="199">
        <f>3LifeCare!H54</f>
        <v>0</v>
      </c>
      <c r="I54" s="202"/>
    </row>
    <row r="55" spans="1:9" ht="12.75">
      <c r="A55" s="190"/>
      <c r="B55" s="202"/>
      <c r="C55" s="198">
        <f t="shared" si="7"/>
        <v>61</v>
      </c>
      <c r="D55" s="203">
        <f t="shared" si="6"/>
        <v>0</v>
      </c>
      <c r="E55" s="203">
        <f t="shared" si="4"/>
        <v>0</v>
      </c>
      <c r="F55" s="203">
        <f t="shared" si="5"/>
        <v>0</v>
      </c>
      <c r="G55" s="203">
        <f t="shared" si="3"/>
        <v>0</v>
      </c>
      <c r="H55" s="199">
        <f>3LifeCare!H55</f>
        <v>0</v>
      </c>
      <c r="I55" s="202"/>
    </row>
    <row r="56" spans="1:9" ht="12.75">
      <c r="A56" s="190"/>
      <c r="B56" s="202"/>
      <c r="C56" s="198">
        <f t="shared" si="7"/>
        <v>62</v>
      </c>
      <c r="D56" s="203">
        <f t="shared" si="6"/>
        <v>0</v>
      </c>
      <c r="E56" s="203">
        <f t="shared" si="4"/>
        <v>0</v>
      </c>
      <c r="F56" s="203">
        <f t="shared" si="5"/>
        <v>0</v>
      </c>
      <c r="G56" s="203">
        <f t="shared" si="3"/>
        <v>0</v>
      </c>
      <c r="H56" s="199">
        <f>3LifeCare!H56</f>
        <v>0</v>
      </c>
      <c r="I56" s="202"/>
    </row>
    <row r="57" spans="1:9" ht="12.75">
      <c r="A57" s="190"/>
      <c r="B57" s="202"/>
      <c r="C57" s="198">
        <f t="shared" si="7"/>
        <v>63</v>
      </c>
      <c r="D57" s="203">
        <f t="shared" si="6"/>
        <v>0</v>
      </c>
      <c r="E57" s="203">
        <f t="shared" si="4"/>
        <v>0</v>
      </c>
      <c r="F57" s="203">
        <f t="shared" si="5"/>
        <v>0</v>
      </c>
      <c r="G57" s="203">
        <f t="shared" si="3"/>
        <v>0</v>
      </c>
      <c r="H57" s="199">
        <f>3LifeCare!H57</f>
        <v>0</v>
      </c>
      <c r="I57" s="202"/>
    </row>
    <row r="58" spans="1:9" ht="12.75">
      <c r="A58" s="190"/>
      <c r="B58" s="202"/>
      <c r="C58" s="198">
        <f t="shared" si="7"/>
        <v>64</v>
      </c>
      <c r="D58" s="203">
        <f t="shared" si="6"/>
        <v>0</v>
      </c>
      <c r="E58" s="203">
        <f t="shared" si="4"/>
        <v>0</v>
      </c>
      <c r="F58" s="203">
        <f t="shared" si="5"/>
        <v>0</v>
      </c>
      <c r="G58" s="203">
        <f t="shared" si="3"/>
        <v>0</v>
      </c>
      <c r="H58" s="199">
        <f>3LifeCare!H58</f>
        <v>0</v>
      </c>
      <c r="I58" s="202"/>
    </row>
    <row r="59" spans="1:9" ht="12.75">
      <c r="A59" s="190"/>
      <c r="B59" s="202"/>
      <c r="C59" s="198">
        <f t="shared" si="7"/>
        <v>65</v>
      </c>
      <c r="D59" s="203">
        <f t="shared" si="6"/>
        <v>0</v>
      </c>
      <c r="E59" s="203">
        <f t="shared" si="4"/>
        <v>0</v>
      </c>
      <c r="F59" s="203">
        <f t="shared" si="5"/>
        <v>0</v>
      </c>
      <c r="G59" s="203">
        <f t="shared" si="3"/>
        <v>0</v>
      </c>
      <c r="H59" s="199">
        <f>3LifeCare!H59</f>
        <v>0</v>
      </c>
      <c r="I59" s="202"/>
    </row>
    <row r="60" spans="1:9" ht="12.75">
      <c r="A60" s="190"/>
      <c r="B60" s="202"/>
      <c r="C60" s="198">
        <f t="shared" si="7"/>
        <v>66</v>
      </c>
      <c r="D60" s="203">
        <f t="shared" si="6"/>
        <v>0</v>
      </c>
      <c r="E60" s="203">
        <f t="shared" si="4"/>
        <v>0</v>
      </c>
      <c r="F60" s="203">
        <f t="shared" si="5"/>
        <v>0</v>
      </c>
      <c r="G60" s="203">
        <f t="shared" si="3"/>
        <v>0</v>
      </c>
      <c r="H60" s="199">
        <f>3LifeCare!H60</f>
        <v>0</v>
      </c>
      <c r="I60" s="202"/>
    </row>
    <row r="61" spans="1:9" ht="12.75">
      <c r="A61" s="190"/>
      <c r="B61" s="202"/>
      <c r="C61" s="198">
        <f t="shared" si="7"/>
        <v>67</v>
      </c>
      <c r="D61" s="203">
        <f t="shared" si="6"/>
        <v>0</v>
      </c>
      <c r="E61" s="203">
        <f t="shared" si="4"/>
        <v>0</v>
      </c>
      <c r="F61" s="203">
        <f t="shared" si="5"/>
        <v>0</v>
      </c>
      <c r="G61" s="203">
        <f t="shared" si="3"/>
        <v>0</v>
      </c>
      <c r="H61" s="199">
        <f>3LifeCare!H61</f>
        <v>0</v>
      </c>
      <c r="I61" s="202"/>
    </row>
    <row r="62" spans="1:9" ht="12.75">
      <c r="A62" s="190"/>
      <c r="B62" s="202"/>
      <c r="C62" s="198">
        <f aca="true" t="shared" si="8" ref="C62:C67">C61+1</f>
        <v>68</v>
      </c>
      <c r="D62" s="203">
        <f t="shared" si="6"/>
        <v>0</v>
      </c>
      <c r="E62" s="203">
        <f t="shared" si="4"/>
        <v>0</v>
      </c>
      <c r="F62" s="203">
        <f t="shared" si="5"/>
        <v>0</v>
      </c>
      <c r="G62" s="203">
        <f t="shared" si="3"/>
        <v>0</v>
      </c>
      <c r="H62" s="199">
        <f>3LifeCare!H62</f>
        <v>0</v>
      </c>
      <c r="I62" s="202"/>
    </row>
    <row r="63" spans="1:9" ht="12.75">
      <c r="A63" s="190"/>
      <c r="B63" s="202"/>
      <c r="C63" s="198">
        <f t="shared" si="8"/>
        <v>69</v>
      </c>
      <c r="D63" s="203">
        <f t="shared" si="6"/>
        <v>0</v>
      </c>
      <c r="E63" s="203">
        <f t="shared" si="4"/>
        <v>0</v>
      </c>
      <c r="F63" s="203">
        <f t="shared" si="5"/>
        <v>0</v>
      </c>
      <c r="G63" s="203">
        <f t="shared" si="3"/>
        <v>0</v>
      </c>
      <c r="H63" s="199">
        <f>3LifeCare!H63</f>
        <v>0</v>
      </c>
      <c r="I63" s="202"/>
    </row>
    <row r="64" spans="1:9" ht="12.75">
      <c r="A64" s="190"/>
      <c r="B64" s="202"/>
      <c r="C64" s="198">
        <f t="shared" si="8"/>
        <v>70</v>
      </c>
      <c r="D64" s="203">
        <f t="shared" si="6"/>
        <v>0</v>
      </c>
      <c r="E64" s="203">
        <f t="shared" si="4"/>
        <v>0</v>
      </c>
      <c r="F64" s="203">
        <f t="shared" si="5"/>
        <v>0</v>
      </c>
      <c r="G64" s="203">
        <f t="shared" si="3"/>
        <v>0</v>
      </c>
      <c r="H64" s="199">
        <f>3LifeCare!H64</f>
        <v>0</v>
      </c>
      <c r="I64" s="202"/>
    </row>
    <row r="65" spans="1:9" ht="12.75">
      <c r="A65" s="190"/>
      <c r="B65" s="202"/>
      <c r="C65" s="198">
        <f t="shared" si="8"/>
        <v>71</v>
      </c>
      <c r="D65" s="203">
        <f t="shared" si="6"/>
        <v>0</v>
      </c>
      <c r="E65" s="203">
        <f t="shared" si="4"/>
        <v>0</v>
      </c>
      <c r="F65" s="203">
        <f t="shared" si="5"/>
        <v>0</v>
      </c>
      <c r="G65" s="203">
        <f t="shared" si="3"/>
        <v>0</v>
      </c>
      <c r="H65" s="199">
        <f>3LifeCare!H65</f>
        <v>0</v>
      </c>
      <c r="I65" s="202"/>
    </row>
    <row r="66" spans="1:9" ht="12.75">
      <c r="A66" s="190"/>
      <c r="B66" s="202"/>
      <c r="C66" s="198">
        <f t="shared" si="8"/>
        <v>72</v>
      </c>
      <c r="D66" s="203">
        <f t="shared" si="6"/>
        <v>0</v>
      </c>
      <c r="E66" s="203">
        <f t="shared" si="4"/>
        <v>0</v>
      </c>
      <c r="F66" s="203">
        <f t="shared" si="5"/>
        <v>0</v>
      </c>
      <c r="G66" s="203">
        <f t="shared" si="3"/>
        <v>0</v>
      </c>
      <c r="H66" s="199">
        <f>3LifeCare!H66</f>
        <v>0</v>
      </c>
      <c r="I66" s="202"/>
    </row>
    <row r="67" spans="1:9" ht="12.75">
      <c r="A67" s="190"/>
      <c r="B67" s="202"/>
      <c r="C67" s="198">
        <f t="shared" si="8"/>
        <v>73</v>
      </c>
      <c r="D67" s="203">
        <f t="shared" si="6"/>
        <v>0</v>
      </c>
      <c r="E67" s="203">
        <f t="shared" si="4"/>
        <v>0</v>
      </c>
      <c r="F67" s="203">
        <f t="shared" si="5"/>
        <v>0</v>
      </c>
      <c r="G67" s="203">
        <f t="shared" si="3"/>
        <v>0</v>
      </c>
      <c r="H67" s="199">
        <f>3LifeCare!H67</f>
        <v>0</v>
      </c>
      <c r="I67" s="202"/>
    </row>
  </sheetData>
  <mergeCells count="4">
    <mergeCell ref="A1:B1"/>
    <mergeCell ref="A2:H2"/>
    <mergeCell ref="B3:C3"/>
    <mergeCell ref="E3:F3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="95" zoomScaleNormal="95" workbookViewId="0" topLeftCell="A4">
      <selection activeCell="I7" sqref="I7:J7"/>
    </sheetView>
  </sheetViews>
  <sheetFormatPr defaultColWidth="9.140625" defaultRowHeight="12.75"/>
  <cols>
    <col min="5" max="5" width="6.7109375" style="0" customWidth="1"/>
    <col min="6" max="6" width="5.7109375" style="0" customWidth="1"/>
  </cols>
  <sheetData>
    <row r="1" spans="1:10" ht="12.75">
      <c r="A1" s="338" t="s">
        <v>197</v>
      </c>
      <c r="B1" s="338"/>
      <c r="C1" s="338"/>
      <c r="D1" s="338"/>
      <c r="E1" s="58"/>
      <c r="F1" s="59"/>
      <c r="G1" s="4"/>
      <c r="H1" s="4"/>
      <c r="I1" s="4"/>
      <c r="J1" s="4"/>
    </row>
    <row r="2" spans="1:10" ht="12.75">
      <c r="A2" s="22" t="s">
        <v>19</v>
      </c>
      <c r="B2" s="22"/>
      <c r="C2" s="331" t="s">
        <v>97</v>
      </c>
      <c r="D2" s="331"/>
      <c r="E2" s="66"/>
      <c r="F2" s="4"/>
      <c r="G2" s="22" t="s">
        <v>84</v>
      </c>
      <c r="H2" s="4"/>
      <c r="I2" s="4"/>
      <c r="J2" s="4"/>
    </row>
    <row r="3" spans="1:10" ht="12.75">
      <c r="A3" s="4"/>
      <c r="B3" s="4"/>
      <c r="C3" s="4" t="s">
        <v>81</v>
      </c>
      <c r="D3" s="4" t="s">
        <v>82</v>
      </c>
      <c r="E3" s="4" t="s">
        <v>80</v>
      </c>
      <c r="G3" s="4"/>
      <c r="H3" s="4"/>
      <c r="I3" s="4"/>
      <c r="J3" s="4"/>
    </row>
    <row r="4" spans="1:10" ht="12.75">
      <c r="A4" s="344" t="s">
        <v>118</v>
      </c>
      <c r="B4" s="345"/>
      <c r="C4" s="206"/>
      <c r="D4" s="141"/>
      <c r="E4" s="62" t="s">
        <v>126</v>
      </c>
      <c r="F4" s="4"/>
      <c r="G4" s="31">
        <f>C4*D4</f>
        <v>0</v>
      </c>
      <c r="H4" s="81" t="s">
        <v>164</v>
      </c>
      <c r="I4" s="31">
        <f>5*G4</f>
        <v>0</v>
      </c>
      <c r="J4" s="81" t="s">
        <v>266</v>
      </c>
    </row>
    <row r="5" spans="1:10" ht="12.75">
      <c r="A5" s="344" t="s">
        <v>119</v>
      </c>
      <c r="B5" s="345"/>
      <c r="C5" s="206"/>
      <c r="D5" s="207"/>
      <c r="E5" s="62" t="s">
        <v>83</v>
      </c>
      <c r="F5" s="4"/>
      <c r="G5" s="31">
        <f>C5*D5</f>
        <v>0</v>
      </c>
      <c r="H5" s="4"/>
      <c r="I5" s="138">
        <f>G5</f>
        <v>0</v>
      </c>
      <c r="J5" s="4"/>
    </row>
    <row r="6" spans="1:10" ht="12.75">
      <c r="A6" s="70"/>
      <c r="B6" s="4"/>
      <c r="C6" s="4"/>
      <c r="D6" s="4"/>
      <c r="E6" s="4"/>
      <c r="F6" s="4"/>
      <c r="G6" s="4"/>
      <c r="H6" s="182" t="s">
        <v>20</v>
      </c>
      <c r="I6" s="74">
        <f>SUM(I4:I5)</f>
        <v>0</v>
      </c>
      <c r="J6" s="4"/>
    </row>
    <row r="7" spans="1:10" ht="16.5" thickBot="1">
      <c r="A7" s="339" t="s">
        <v>256</v>
      </c>
      <c r="B7" s="340"/>
      <c r="C7" s="340"/>
      <c r="D7" s="340"/>
      <c r="E7" s="340"/>
      <c r="F7" s="340"/>
      <c r="G7" s="340"/>
      <c r="H7" s="340"/>
      <c r="I7" s="342"/>
      <c r="J7" s="342"/>
    </row>
    <row r="8" spans="1:10" ht="12.75">
      <c r="A8" s="67"/>
      <c r="B8" s="67"/>
      <c r="C8" s="67"/>
      <c r="D8" s="67"/>
      <c r="E8" s="4"/>
      <c r="F8" s="4"/>
      <c r="G8" s="4"/>
      <c r="H8" s="4"/>
      <c r="I8" s="343" t="b">
        <f>EXACT(I7,"supervision")</f>
        <v>0</v>
      </c>
      <c r="J8" s="343"/>
    </row>
    <row r="9" spans="1:10" ht="12.75">
      <c r="A9" s="67"/>
      <c r="B9" s="67" t="str">
        <f>A4</f>
        <v>Supervision</v>
      </c>
      <c r="C9" s="60">
        <f>G4</f>
        <v>0</v>
      </c>
      <c r="D9" s="67"/>
      <c r="E9" s="4"/>
      <c r="F9" s="4"/>
      <c r="G9" s="4"/>
      <c r="H9" s="4"/>
      <c r="I9" s="4"/>
      <c r="J9" s="4"/>
    </row>
    <row r="10" spans="1:10" ht="12.75">
      <c r="A10" s="67"/>
      <c r="B10" s="67" t="str">
        <f>A5</f>
        <v>Helmet purchase</v>
      </c>
      <c r="C10" s="60">
        <f>C5</f>
        <v>0</v>
      </c>
      <c r="D10" s="67"/>
      <c r="E10" s="4"/>
      <c r="F10" s="4"/>
      <c r="G10" s="4"/>
      <c r="H10" s="4"/>
      <c r="I10" s="4"/>
      <c r="J10" s="4"/>
    </row>
    <row r="11" spans="1:10" ht="12.75">
      <c r="A11" s="67"/>
      <c r="B11" s="67"/>
      <c r="C11" s="67"/>
      <c r="D11" s="67"/>
      <c r="E11" s="4"/>
      <c r="F11" s="4"/>
      <c r="G11" s="4"/>
      <c r="H11" s="4"/>
      <c r="I11" s="4"/>
      <c r="J11" s="4"/>
    </row>
    <row r="12" spans="1:10" ht="12.7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2.75">
      <c r="A13" s="4"/>
      <c r="B13" s="4"/>
      <c r="C13" s="67"/>
      <c r="D13" s="60"/>
      <c r="E13" s="67"/>
      <c r="F13" s="4"/>
      <c r="G13" s="4"/>
      <c r="H13" s="4"/>
      <c r="I13" s="4"/>
      <c r="J13" s="4"/>
    </row>
    <row r="14" spans="1:10" ht="12.75">
      <c r="A14" s="4"/>
      <c r="B14" s="4"/>
      <c r="C14" s="67"/>
      <c r="D14" s="60"/>
      <c r="E14" s="67"/>
      <c r="F14" s="4"/>
      <c r="G14" s="4"/>
      <c r="H14" s="4"/>
      <c r="I14" s="4"/>
      <c r="J14" s="4"/>
    </row>
    <row r="15" spans="1:10" ht="12.7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2.7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2.7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2.7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2.7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2.7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2:10" ht="12.75"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2.7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2:10" ht="12.75">
      <c r="B39" s="4"/>
      <c r="C39" s="4"/>
      <c r="D39" s="4"/>
      <c r="E39" s="4"/>
      <c r="F39" s="4"/>
      <c r="G39" s="4"/>
      <c r="H39" s="4"/>
      <c r="I39" s="4"/>
      <c r="J39" s="4"/>
    </row>
    <row r="40" spans="1:10" ht="12.7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2.7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2.7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2.7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2.7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2.7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2.7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2.7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2.7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4" t="s">
        <v>169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4"/>
      <c r="B50" s="4"/>
      <c r="C50" s="4"/>
      <c r="D50" s="4"/>
      <c r="E50" s="4"/>
      <c r="F50" s="4"/>
      <c r="G50" s="4"/>
      <c r="H50" s="4"/>
      <c r="I50" s="4"/>
      <c r="J50" s="4"/>
    </row>
  </sheetData>
  <mergeCells count="7">
    <mergeCell ref="I7:J7"/>
    <mergeCell ref="I8:J8"/>
    <mergeCell ref="C2:D2"/>
    <mergeCell ref="A1:D1"/>
    <mergeCell ref="A5:B5"/>
    <mergeCell ref="A4:B4"/>
    <mergeCell ref="A7:H7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J19" sqref="J19"/>
    </sheetView>
  </sheetViews>
  <sheetFormatPr defaultColWidth="9.140625" defaultRowHeight="12.75"/>
  <sheetData>
    <row r="1" spans="1:9" ht="12.75">
      <c r="A1" s="338" t="s">
        <v>202</v>
      </c>
      <c r="B1" s="338"/>
      <c r="C1" s="338"/>
      <c r="D1" s="338"/>
      <c r="E1" s="58"/>
      <c r="F1" s="59"/>
      <c r="G1" s="4"/>
      <c r="H1" s="4"/>
      <c r="I1" s="4"/>
    </row>
    <row r="2" spans="1:9" ht="12.75">
      <c r="A2" s="22" t="s">
        <v>19</v>
      </c>
      <c r="B2" s="22"/>
      <c r="C2" s="331" t="s">
        <v>97</v>
      </c>
      <c r="D2" s="331"/>
      <c r="E2" s="66"/>
      <c r="F2" s="4"/>
      <c r="G2" s="22" t="s">
        <v>84</v>
      </c>
      <c r="H2" s="4"/>
      <c r="I2" s="4"/>
    </row>
    <row r="3" spans="1:9" ht="12.75">
      <c r="A3" s="4"/>
      <c r="B3" s="4"/>
      <c r="C3" s="4" t="s">
        <v>81</v>
      </c>
      <c r="D3" s="4" t="s">
        <v>82</v>
      </c>
      <c r="E3" s="4" t="s">
        <v>80</v>
      </c>
      <c r="G3" s="4"/>
      <c r="H3" s="4"/>
      <c r="I3" s="4"/>
    </row>
    <row r="4" spans="1:9" ht="12.75">
      <c r="A4" s="4" t="s">
        <v>118</v>
      </c>
      <c r="C4" s="40">
        <f>5InterventionCost!C4</f>
        <v>0</v>
      </c>
      <c r="D4" s="205">
        <v>48</v>
      </c>
      <c r="E4" s="40" t="s">
        <v>126</v>
      </c>
      <c r="F4" s="4"/>
      <c r="G4" s="31">
        <f>C4*D4</f>
        <v>0</v>
      </c>
      <c r="H4" s="81" t="s">
        <v>164</v>
      </c>
      <c r="I4" s="4"/>
    </row>
    <row r="5" spans="1:9" ht="12.75">
      <c r="A5" s="4" t="s">
        <v>119</v>
      </c>
      <c r="B5" s="4"/>
      <c r="C5" s="40">
        <f>5InterventionCost!C5</f>
        <v>0</v>
      </c>
      <c r="D5" s="205">
        <v>1</v>
      </c>
      <c r="E5" s="40" t="s">
        <v>83</v>
      </c>
      <c r="F5" s="4"/>
      <c r="G5" s="69"/>
      <c r="H5" s="4"/>
      <c r="I5" s="4"/>
    </row>
    <row r="6" spans="1:9" ht="12.75">
      <c r="A6" s="70" t="s">
        <v>120</v>
      </c>
      <c r="B6" s="4"/>
      <c r="C6" s="4"/>
      <c r="D6" s="4"/>
      <c r="E6" s="4"/>
      <c r="F6" s="4"/>
      <c r="G6" s="4"/>
      <c r="H6" s="4"/>
      <c r="I6" s="4"/>
    </row>
    <row r="7" spans="1:9" ht="12.75">
      <c r="A7" s="19" t="s">
        <v>22</v>
      </c>
      <c r="B7" s="4"/>
      <c r="C7" s="4"/>
      <c r="D7" s="10">
        <v>5</v>
      </c>
      <c r="E7" t="s">
        <v>161</v>
      </c>
      <c r="F7" s="4"/>
      <c r="G7" s="4"/>
      <c r="H7" s="4"/>
      <c r="I7" s="4"/>
    </row>
    <row r="8" spans="1:9" ht="12.75">
      <c r="A8" s="347" t="s">
        <v>128</v>
      </c>
      <c r="B8" s="347"/>
      <c r="C8" s="347"/>
      <c r="D8" s="4"/>
      <c r="E8" s="4"/>
      <c r="F8" s="4"/>
      <c r="G8" s="31">
        <f>G4*D7</f>
        <v>0</v>
      </c>
      <c r="H8" s="4"/>
      <c r="I8" s="4"/>
    </row>
    <row r="9" spans="1:9" ht="12.75">
      <c r="A9" s="228"/>
      <c r="B9" s="228"/>
      <c r="C9" s="228"/>
      <c r="D9" s="4"/>
      <c r="E9" s="4"/>
      <c r="F9" s="4"/>
      <c r="G9" s="71"/>
      <c r="H9" s="4"/>
      <c r="I9" s="4"/>
    </row>
    <row r="10" spans="1:9" ht="15.75">
      <c r="A10" s="339" t="s">
        <v>257</v>
      </c>
      <c r="B10" s="340"/>
      <c r="C10" s="340"/>
      <c r="D10" s="340"/>
      <c r="E10" s="340"/>
      <c r="F10" s="340"/>
      <c r="G10" s="340"/>
      <c r="H10" s="4"/>
      <c r="I10" s="4"/>
    </row>
    <row r="11" spans="1:9" ht="16.5" thickBot="1">
      <c r="A11" s="346" t="s">
        <v>234</v>
      </c>
      <c r="B11" s="346"/>
      <c r="C11" s="346"/>
      <c r="D11" s="276">
        <v>8400</v>
      </c>
      <c r="E11" s="4"/>
      <c r="F11" s="335" t="str">
        <f>IF(D11=G8,"This is correct!","Try again.")</f>
        <v>Try again.</v>
      </c>
      <c r="G11" s="335"/>
      <c r="H11" s="4"/>
      <c r="I11" s="4"/>
    </row>
    <row r="12" spans="1:9" ht="12.75">
      <c r="A12" s="4"/>
      <c r="B12" s="67"/>
      <c r="C12" s="67"/>
      <c r="D12" s="67"/>
      <c r="E12" s="4"/>
      <c r="F12" s="4"/>
      <c r="G12" s="4"/>
      <c r="H12" s="4"/>
      <c r="I12" s="4"/>
    </row>
    <row r="13" spans="1:9" ht="12.75">
      <c r="A13" s="4"/>
      <c r="B13" s="67"/>
      <c r="C13" s="60">
        <f>(D7/D7)*720</f>
        <v>720</v>
      </c>
      <c r="D13" s="67"/>
      <c r="E13" s="4"/>
      <c r="F13" s="4"/>
      <c r="G13" s="4"/>
      <c r="H13" s="4"/>
      <c r="I13" s="4"/>
    </row>
    <row r="14" spans="1:9" ht="12.75">
      <c r="A14" s="4"/>
      <c r="B14" s="67"/>
      <c r="C14" s="60">
        <f>((D$7-3/1))*720</f>
        <v>1440</v>
      </c>
      <c r="D14" s="67"/>
      <c r="E14" s="4"/>
      <c r="F14" s="4"/>
      <c r="G14" s="4"/>
      <c r="H14" s="4"/>
      <c r="I14" s="4"/>
    </row>
    <row r="15" spans="1:9" ht="12.75">
      <c r="A15" s="4"/>
      <c r="B15" s="67"/>
      <c r="C15" s="60">
        <f>((D$7-2/1))*720</f>
        <v>2160</v>
      </c>
      <c r="D15" s="67"/>
      <c r="E15" s="4"/>
      <c r="F15" s="4"/>
      <c r="G15" s="4"/>
      <c r="H15" s="4"/>
      <c r="I15" s="4"/>
    </row>
    <row r="16" spans="1:9" ht="12.75">
      <c r="A16" s="4"/>
      <c r="B16" s="67"/>
      <c r="C16" s="60">
        <f>((D$7-1/1))*720</f>
        <v>2880</v>
      </c>
      <c r="D16" s="67"/>
      <c r="E16" s="4"/>
      <c r="F16" s="4"/>
      <c r="G16" s="4"/>
      <c r="H16" s="4"/>
      <c r="I16" s="4"/>
    </row>
    <row r="17" spans="1:9" ht="12.75">
      <c r="A17" s="4"/>
      <c r="B17" s="67"/>
      <c r="C17" s="60">
        <f>((D$7/1))*720</f>
        <v>3600</v>
      </c>
      <c r="D17" s="67"/>
      <c r="E17" s="4"/>
      <c r="F17" s="4"/>
      <c r="G17" s="4"/>
      <c r="H17" s="4"/>
      <c r="I17" s="4"/>
    </row>
    <row r="18" spans="1:9" ht="12.75">
      <c r="A18" s="4"/>
      <c r="B18" s="4"/>
      <c r="C18" s="4"/>
      <c r="D18" s="4"/>
      <c r="E18" s="4"/>
      <c r="F18" s="4"/>
      <c r="G18" s="4"/>
      <c r="H18" s="4"/>
      <c r="I18" s="4"/>
    </row>
    <row r="19" spans="1:9" ht="12.75">
      <c r="A19" s="4"/>
      <c r="B19" s="4"/>
      <c r="C19" s="4"/>
      <c r="D19" s="4"/>
      <c r="E19" s="4"/>
      <c r="F19" s="4"/>
      <c r="G19" s="4"/>
      <c r="H19" s="4"/>
      <c r="I19" s="4"/>
    </row>
    <row r="20" spans="1:9" ht="12.75">
      <c r="A20" s="4"/>
      <c r="B20" s="4"/>
      <c r="C20" s="4"/>
      <c r="D20" s="4"/>
      <c r="E20" s="4"/>
      <c r="F20" s="4"/>
      <c r="G20" s="4"/>
      <c r="H20" s="4"/>
      <c r="I20" s="4"/>
    </row>
    <row r="21" spans="1:9" ht="12.75">
      <c r="A21" s="4"/>
      <c r="B21" s="4"/>
      <c r="C21" s="4"/>
      <c r="D21" s="4"/>
      <c r="E21" s="4"/>
      <c r="F21" s="4"/>
      <c r="G21" s="4"/>
      <c r="H21" s="4"/>
      <c r="I21" s="4"/>
    </row>
    <row r="22" spans="1:9" ht="12.75">
      <c r="A22" s="4"/>
      <c r="B22" s="4"/>
      <c r="C22" s="4"/>
      <c r="D22" s="4"/>
      <c r="E22" s="4"/>
      <c r="F22" s="4"/>
      <c r="G22" s="4"/>
      <c r="H22" s="4"/>
      <c r="I22" s="4"/>
    </row>
    <row r="23" spans="1:9" ht="12.75">
      <c r="A23" s="4"/>
      <c r="B23" s="4"/>
      <c r="C23" s="4"/>
      <c r="D23" s="4"/>
      <c r="E23" s="4"/>
      <c r="F23" s="4"/>
      <c r="G23" s="4"/>
      <c r="H23" s="4"/>
      <c r="I23" s="4"/>
    </row>
    <row r="24" spans="1:9" ht="12.75">
      <c r="A24" s="4"/>
      <c r="B24" s="4"/>
      <c r="C24" s="4"/>
      <c r="D24" s="4"/>
      <c r="E24" s="4"/>
      <c r="F24" s="4"/>
      <c r="G24" s="4"/>
      <c r="H24" s="4"/>
      <c r="I24" s="4"/>
    </row>
    <row r="25" spans="1:9" ht="12.75">
      <c r="A25" s="4"/>
      <c r="B25" s="4"/>
      <c r="C25" s="4"/>
      <c r="D25" s="4"/>
      <c r="E25" s="4"/>
      <c r="F25" s="4"/>
      <c r="G25" s="4"/>
      <c r="H25" s="4"/>
      <c r="I25" s="4"/>
    </row>
    <row r="26" spans="1:9" ht="12.75">
      <c r="A26" s="4"/>
      <c r="B26" s="4"/>
      <c r="C26" s="4"/>
      <c r="D26" s="4"/>
      <c r="E26" s="4"/>
      <c r="F26" s="4"/>
      <c r="G26" s="4"/>
      <c r="H26" s="4"/>
      <c r="I26" s="4"/>
    </row>
    <row r="27" spans="1:9" ht="12.75">
      <c r="A27" s="4"/>
      <c r="B27" s="4"/>
      <c r="C27" s="4"/>
      <c r="D27" s="4"/>
      <c r="E27" s="4"/>
      <c r="F27" s="4"/>
      <c r="G27" s="4"/>
      <c r="H27" s="4"/>
      <c r="I27" s="4"/>
    </row>
    <row r="28" spans="1:9" ht="12.75">
      <c r="A28" s="4"/>
      <c r="B28" s="4"/>
      <c r="C28" s="4"/>
      <c r="D28" s="4"/>
      <c r="E28" s="4"/>
      <c r="F28" s="4"/>
      <c r="G28" s="4"/>
      <c r="H28" s="4"/>
      <c r="I28" s="4"/>
    </row>
    <row r="29" spans="1:9" ht="12.75">
      <c r="A29" s="4"/>
      <c r="B29" s="4"/>
      <c r="C29" s="4"/>
      <c r="D29" s="4"/>
      <c r="E29" s="4"/>
      <c r="F29" s="4"/>
      <c r="G29" s="4"/>
      <c r="H29" s="4"/>
      <c r="I29" s="4"/>
    </row>
    <row r="30" spans="1:9" ht="12.75">
      <c r="A30" s="4"/>
      <c r="B30" s="4"/>
      <c r="C30" s="4"/>
      <c r="D30" s="4"/>
      <c r="E30" s="4"/>
      <c r="F30" s="4"/>
      <c r="G30" s="4"/>
      <c r="H30" s="4"/>
      <c r="I30" s="4"/>
    </row>
    <row r="31" spans="1:9" ht="12.75">
      <c r="A31" s="4"/>
      <c r="B31" s="4"/>
      <c r="C31" s="4"/>
      <c r="D31" s="4"/>
      <c r="E31" s="4"/>
      <c r="F31" s="4"/>
      <c r="G31" s="4"/>
      <c r="H31" s="4"/>
      <c r="I31" s="4"/>
    </row>
    <row r="32" spans="1:9" ht="12.75">
      <c r="A32" s="4"/>
      <c r="B32" s="4"/>
      <c r="C32" s="4"/>
      <c r="D32" s="4"/>
      <c r="E32" s="4"/>
      <c r="F32" s="4"/>
      <c r="G32" s="4"/>
      <c r="H32" s="4"/>
      <c r="I32" s="4"/>
    </row>
    <row r="33" spans="1:9" ht="12.75">
      <c r="A33" s="4"/>
      <c r="B33" s="4"/>
      <c r="C33" s="4"/>
      <c r="D33" s="4"/>
      <c r="E33" s="4"/>
      <c r="F33" s="4"/>
      <c r="G33" s="4"/>
      <c r="H33" s="4"/>
      <c r="I33" s="4"/>
    </row>
    <row r="34" spans="1:9" ht="12.75">
      <c r="A34" s="4"/>
      <c r="B34" s="4"/>
      <c r="C34" s="4"/>
      <c r="D34" s="4"/>
      <c r="E34" s="4"/>
      <c r="F34" s="4"/>
      <c r="G34" s="4"/>
      <c r="H34" s="4"/>
      <c r="I34" s="4"/>
    </row>
    <row r="35" spans="1:9" ht="12.75">
      <c r="A35" s="4"/>
      <c r="B35" s="4"/>
      <c r="C35" s="4"/>
      <c r="D35" s="4"/>
      <c r="E35" s="4"/>
      <c r="F35" s="4"/>
      <c r="G35" s="4"/>
      <c r="H35" s="4"/>
      <c r="I35" s="4"/>
    </row>
    <row r="36" spans="1:9" ht="12.75">
      <c r="A36" s="4"/>
      <c r="B36" s="4"/>
      <c r="C36" s="4"/>
      <c r="D36" s="4"/>
      <c r="E36" s="4"/>
      <c r="F36" s="4"/>
      <c r="G36" s="4"/>
      <c r="H36" s="4"/>
      <c r="I36" s="4"/>
    </row>
    <row r="37" spans="1:9" ht="12.75">
      <c r="A37" s="4"/>
      <c r="B37" s="4"/>
      <c r="C37" s="4"/>
      <c r="D37" s="4"/>
      <c r="E37" s="4"/>
      <c r="F37" s="4"/>
      <c r="G37" s="4"/>
      <c r="H37" s="4"/>
      <c r="I37" s="4"/>
    </row>
    <row r="38" spans="1:9" ht="12.75">
      <c r="A38" s="4"/>
      <c r="B38" s="4"/>
      <c r="C38" s="4"/>
      <c r="D38" s="4"/>
      <c r="E38" s="4"/>
      <c r="F38" s="4"/>
      <c r="G38" s="4"/>
      <c r="H38" s="4"/>
      <c r="I38" s="4"/>
    </row>
    <row r="39" spans="1:9" ht="12.75">
      <c r="A39" s="4"/>
      <c r="B39" s="4"/>
      <c r="C39" s="4"/>
      <c r="D39" s="4"/>
      <c r="E39" s="4"/>
      <c r="F39" s="4"/>
      <c r="G39" s="4"/>
      <c r="H39" s="4"/>
      <c r="I39" s="4"/>
    </row>
    <row r="40" spans="1:9" ht="12.75">
      <c r="A40" s="4"/>
      <c r="B40" s="4"/>
      <c r="C40" s="4"/>
      <c r="D40" s="4"/>
      <c r="E40" s="4"/>
      <c r="F40" s="4"/>
      <c r="G40" s="4"/>
      <c r="H40" s="4"/>
      <c r="I40" s="4"/>
    </row>
    <row r="41" spans="1:9" ht="12.75">
      <c r="A41" s="4"/>
      <c r="B41" s="4"/>
      <c r="C41" s="4"/>
      <c r="D41" s="4"/>
      <c r="E41" s="4"/>
      <c r="F41" s="4"/>
      <c r="G41" s="4"/>
      <c r="H41" s="4"/>
      <c r="I41" s="4"/>
    </row>
    <row r="42" spans="1:9" ht="12.75">
      <c r="A42" s="4"/>
      <c r="B42" s="4"/>
      <c r="C42" s="4"/>
      <c r="D42" s="4"/>
      <c r="E42" s="4"/>
      <c r="F42" s="4"/>
      <c r="G42" s="4"/>
      <c r="H42" s="4"/>
      <c r="I42" s="4"/>
    </row>
    <row r="43" spans="1:9" ht="12.75">
      <c r="A43" s="193" t="s">
        <v>169</v>
      </c>
      <c r="B43" s="4"/>
      <c r="C43" s="4"/>
      <c r="D43" s="4" t="s">
        <v>226</v>
      </c>
      <c r="E43" s="4"/>
      <c r="F43" s="4"/>
      <c r="G43" s="4"/>
      <c r="H43" s="4"/>
      <c r="I43" s="4"/>
    </row>
    <row r="44" spans="1:9" ht="12.75">
      <c r="A44" s="4"/>
      <c r="B44" s="4"/>
      <c r="C44" s="4"/>
      <c r="D44" s="4"/>
      <c r="E44" s="4"/>
      <c r="F44" s="4"/>
      <c r="G44" s="4"/>
      <c r="H44" s="4"/>
      <c r="I44" s="4"/>
    </row>
  </sheetData>
  <mergeCells count="6">
    <mergeCell ref="A11:C11"/>
    <mergeCell ref="F11:G11"/>
    <mergeCell ref="A1:D1"/>
    <mergeCell ref="C2:D2"/>
    <mergeCell ref="A8:C8"/>
    <mergeCell ref="A10:G10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B13" sqref="B13"/>
    </sheetView>
  </sheetViews>
  <sheetFormatPr defaultColWidth="9.140625" defaultRowHeight="12.75"/>
  <sheetData>
    <row r="1" spans="1:9" ht="12.75">
      <c r="A1" s="338" t="s">
        <v>203</v>
      </c>
      <c r="B1" s="338"/>
      <c r="C1" s="338"/>
      <c r="D1" s="338"/>
      <c r="E1" s="58"/>
      <c r="F1" s="59"/>
      <c r="G1" s="4"/>
      <c r="H1" s="4"/>
      <c r="I1" s="4"/>
    </row>
    <row r="2" spans="1:9" ht="12.75">
      <c r="A2" s="65"/>
      <c r="B2" s="18"/>
      <c r="C2" s="18"/>
      <c r="D2" s="18"/>
      <c r="E2" s="18"/>
      <c r="F2" s="4"/>
      <c r="G2" s="4"/>
      <c r="H2" s="4"/>
      <c r="I2" s="4"/>
    </row>
    <row r="3" spans="1:9" ht="12.75">
      <c r="A3" s="22" t="s">
        <v>19</v>
      </c>
      <c r="B3" s="22"/>
      <c r="C3" s="331" t="s">
        <v>97</v>
      </c>
      <c r="D3" s="331"/>
      <c r="E3" s="66"/>
      <c r="F3" s="4"/>
      <c r="G3" s="22" t="s">
        <v>84</v>
      </c>
      <c r="H3" s="4"/>
      <c r="I3" s="4"/>
    </row>
    <row r="4" spans="1:9" ht="12.75">
      <c r="A4" s="4"/>
      <c r="B4" s="4"/>
      <c r="C4" s="4" t="s">
        <v>81</v>
      </c>
      <c r="D4" s="4" t="s">
        <v>82</v>
      </c>
      <c r="E4" s="4" t="s">
        <v>80</v>
      </c>
      <c r="G4" s="4"/>
      <c r="H4" s="4"/>
      <c r="I4" s="4"/>
    </row>
    <row r="5" spans="1:9" ht="12.75">
      <c r="A5" s="4" t="s">
        <v>118</v>
      </c>
      <c r="C5" s="40">
        <f>5InterventionCost!C4</f>
        <v>0</v>
      </c>
      <c r="D5" s="205">
        <v>48</v>
      </c>
      <c r="E5" s="40" t="s">
        <v>126</v>
      </c>
      <c r="F5" s="4"/>
      <c r="G5" s="31">
        <f>C5*D5</f>
        <v>0</v>
      </c>
      <c r="H5" s="81" t="s">
        <v>164</v>
      </c>
      <c r="I5" s="4"/>
    </row>
    <row r="6" spans="1:9" ht="12.75">
      <c r="A6" s="4" t="s">
        <v>119</v>
      </c>
      <c r="B6" s="4"/>
      <c r="C6" s="40">
        <f>5InterventionCost!C5</f>
        <v>0</v>
      </c>
      <c r="D6" s="205">
        <v>1</v>
      </c>
      <c r="E6" s="40" t="s">
        <v>83</v>
      </c>
      <c r="F6" s="4"/>
      <c r="G6" s="69"/>
      <c r="H6" s="4"/>
      <c r="I6" s="4"/>
    </row>
    <row r="7" spans="1:9" ht="12.75">
      <c r="A7" s="70" t="s">
        <v>120</v>
      </c>
      <c r="B7" s="4"/>
      <c r="C7" s="4"/>
      <c r="D7" s="4"/>
      <c r="E7" s="4"/>
      <c r="F7" s="4"/>
      <c r="G7" s="4"/>
      <c r="H7" s="4"/>
      <c r="I7" s="4"/>
    </row>
    <row r="8" spans="1:9" ht="12.75">
      <c r="A8" s="70"/>
      <c r="B8" s="4"/>
      <c r="C8" s="4"/>
      <c r="D8" s="4"/>
      <c r="E8" s="4"/>
      <c r="F8" s="4"/>
      <c r="G8" s="4"/>
      <c r="H8" s="4"/>
      <c r="I8" s="4"/>
    </row>
    <row r="9" spans="1:9" ht="12.75">
      <c r="A9" s="19" t="s">
        <v>22</v>
      </c>
      <c r="B9" s="4"/>
      <c r="C9" s="4"/>
      <c r="D9" s="44">
        <f>6YearCost!D7</f>
        <v>5</v>
      </c>
      <c r="E9" t="s">
        <v>161</v>
      </c>
      <c r="F9" s="4"/>
      <c r="G9" s="4"/>
      <c r="H9" s="4"/>
      <c r="I9" s="4"/>
    </row>
    <row r="10" spans="1:9" ht="12.75">
      <c r="A10" s="347" t="s">
        <v>128</v>
      </c>
      <c r="B10" s="347"/>
      <c r="C10" s="347"/>
      <c r="D10" s="4"/>
      <c r="E10" s="4"/>
      <c r="F10" s="4"/>
      <c r="G10" s="31">
        <f>G5*D9</f>
        <v>0</v>
      </c>
      <c r="H10" s="4"/>
      <c r="I10" s="4"/>
    </row>
    <row r="11" spans="1:9" ht="12.75">
      <c r="A11" s="75" t="s">
        <v>29</v>
      </c>
      <c r="B11" s="4"/>
      <c r="C11" s="4"/>
      <c r="D11" s="142">
        <f>3LifeCare!C24</f>
        <v>0</v>
      </c>
      <c r="E11" s="4"/>
      <c r="F11" s="4"/>
      <c r="H11" s="4"/>
      <c r="I11" s="4"/>
    </row>
    <row r="12" spans="1:9" ht="12.75">
      <c r="A12" s="75" t="s">
        <v>127</v>
      </c>
      <c r="B12" s="4"/>
      <c r="D12" s="4"/>
      <c r="E12" s="67"/>
      <c r="F12" s="4"/>
      <c r="G12" s="98">
        <f>-PV(D11,D9,G5)</f>
        <v>0</v>
      </c>
      <c r="H12" s="4"/>
      <c r="I12" s="4"/>
    </row>
    <row r="13" spans="1:9" ht="12.75">
      <c r="A13" s="4" t="s">
        <v>119</v>
      </c>
      <c r="B13" s="4"/>
      <c r="C13" s="69"/>
      <c r="D13" s="4"/>
      <c r="E13" s="69"/>
      <c r="F13" s="4"/>
      <c r="G13" s="138">
        <f>C6*D6</f>
        <v>0</v>
      </c>
      <c r="H13" s="4"/>
      <c r="I13" s="4"/>
    </row>
    <row r="14" spans="1:9" ht="12.75">
      <c r="A14" s="4"/>
      <c r="B14" s="4"/>
      <c r="D14" s="4"/>
      <c r="E14" s="4"/>
      <c r="F14" s="153" t="s">
        <v>85</v>
      </c>
      <c r="G14" s="208">
        <f>SUM(G12:G13)</f>
        <v>0</v>
      </c>
      <c r="H14" s="4"/>
      <c r="I14" s="4"/>
    </row>
    <row r="15" spans="1:9" ht="12.75">
      <c r="A15" s="4"/>
      <c r="B15" s="4"/>
      <c r="C15" s="4"/>
      <c r="D15" s="4"/>
      <c r="E15" s="4"/>
      <c r="F15" s="4"/>
      <c r="G15" s="4"/>
      <c r="H15" s="4"/>
      <c r="I15" s="4"/>
    </row>
    <row r="16" spans="1:9" ht="15.75">
      <c r="A16" s="254" t="s">
        <v>258</v>
      </c>
      <c r="B16" s="4"/>
      <c r="C16" s="4"/>
      <c r="D16" s="4"/>
      <c r="E16" s="4"/>
      <c r="F16" s="4"/>
      <c r="G16" s="4"/>
      <c r="H16" s="4"/>
      <c r="I16" s="4"/>
    </row>
    <row r="17" spans="1:9" ht="16.5" thickBot="1">
      <c r="A17" s="278" t="s">
        <v>235</v>
      </c>
      <c r="C17" s="277" t="s">
        <v>236</v>
      </c>
      <c r="D17" s="278"/>
      <c r="E17" s="77" t="b">
        <f>EXACT(C17,"less")</f>
        <v>1</v>
      </c>
      <c r="F17" s="4"/>
      <c r="G17" s="4"/>
      <c r="H17" s="4"/>
      <c r="I17" s="4"/>
    </row>
    <row r="18" spans="1:9" ht="12.75">
      <c r="A18" s="4"/>
      <c r="B18" s="67"/>
      <c r="C18" s="67"/>
      <c r="D18" s="67"/>
      <c r="E18" s="4"/>
      <c r="F18" s="4"/>
      <c r="G18" s="4"/>
      <c r="H18" s="4"/>
      <c r="I18" s="4"/>
    </row>
    <row r="19" spans="1:9" ht="12.75">
      <c r="A19" s="4"/>
      <c r="B19" s="67"/>
      <c r="C19" s="67" t="s">
        <v>199</v>
      </c>
      <c r="D19" s="67" t="s">
        <v>198</v>
      </c>
      <c r="E19" s="4"/>
      <c r="F19" s="4"/>
      <c r="G19" s="4"/>
      <c r="H19" s="4"/>
      <c r="I19" s="4"/>
    </row>
    <row r="20" spans="1:9" ht="12.75">
      <c r="A20" s="4"/>
      <c r="B20" s="67">
        <v>1</v>
      </c>
      <c r="C20" s="60">
        <f>6YearCost!C13</f>
        <v>720</v>
      </c>
      <c r="D20" s="60">
        <f>G5</f>
        <v>0</v>
      </c>
      <c r="E20" s="4"/>
      <c r="F20" s="4"/>
      <c r="G20" s="4"/>
      <c r="H20" s="4"/>
      <c r="I20" s="4"/>
    </row>
    <row r="21" spans="1:9" ht="12.75">
      <c r="A21" s="4"/>
      <c r="B21" s="67">
        <v>2</v>
      </c>
      <c r="C21" s="60">
        <f>6YearCost!C14</f>
        <v>1440</v>
      </c>
      <c r="D21" s="60">
        <f>-PV(D$11,D9-3,G$5)</f>
        <v>0</v>
      </c>
      <c r="E21" s="4"/>
      <c r="F21" s="4"/>
      <c r="G21" s="4"/>
      <c r="H21" s="4"/>
      <c r="I21" s="4"/>
    </row>
    <row r="22" spans="1:9" ht="12.75">
      <c r="A22" s="4"/>
      <c r="B22" s="67">
        <v>3</v>
      </c>
      <c r="C22" s="60">
        <f>6YearCost!C15</f>
        <v>2160</v>
      </c>
      <c r="D22" s="60">
        <f>-PV(D$11,D9-2,G$5)</f>
        <v>0</v>
      </c>
      <c r="E22" s="4"/>
      <c r="F22" s="4"/>
      <c r="G22" s="4"/>
      <c r="H22" s="4"/>
      <c r="I22" s="4"/>
    </row>
    <row r="23" spans="1:9" ht="12.75">
      <c r="A23" s="4"/>
      <c r="B23" s="67">
        <v>4</v>
      </c>
      <c r="C23" s="60">
        <f>6YearCost!C16</f>
        <v>2880</v>
      </c>
      <c r="D23" s="60">
        <f>-PV(D$11,D9-1,G$5)</f>
        <v>0</v>
      </c>
      <c r="E23" s="4"/>
      <c r="F23" s="4"/>
      <c r="G23" s="4"/>
      <c r="H23" s="4"/>
      <c r="I23" s="4"/>
    </row>
    <row r="24" spans="1:9" ht="12.75">
      <c r="A24" s="4"/>
      <c r="B24" s="67">
        <v>5</v>
      </c>
      <c r="C24" s="60">
        <f>6YearCost!C17</f>
        <v>3600</v>
      </c>
      <c r="D24" s="60">
        <f>-PV(D$11,D9,G$5)</f>
        <v>0</v>
      </c>
      <c r="E24" s="4"/>
      <c r="F24" s="4"/>
      <c r="G24" s="4"/>
      <c r="H24" s="4"/>
      <c r="I24" s="4"/>
    </row>
    <row r="25" spans="1:9" ht="12.75">
      <c r="A25" s="4"/>
      <c r="B25" s="4"/>
      <c r="C25" s="4"/>
      <c r="D25" s="4"/>
      <c r="E25" s="4"/>
      <c r="F25" s="4"/>
      <c r="G25" s="4"/>
      <c r="H25" s="4"/>
      <c r="I25" s="4"/>
    </row>
    <row r="26" spans="1:9" ht="12.75">
      <c r="A26" s="4"/>
      <c r="B26" s="4"/>
      <c r="C26" s="4"/>
      <c r="D26" s="4"/>
      <c r="E26" s="4"/>
      <c r="F26" s="4"/>
      <c r="G26" s="4"/>
      <c r="H26" s="4"/>
      <c r="I26" s="4"/>
    </row>
    <row r="27" spans="1:9" ht="12.75">
      <c r="A27" s="4"/>
      <c r="B27" s="4"/>
      <c r="C27" s="4"/>
      <c r="D27" s="4"/>
      <c r="E27" s="4"/>
      <c r="F27" s="4"/>
      <c r="G27" s="4"/>
      <c r="H27" s="4"/>
      <c r="I27" s="4"/>
    </row>
    <row r="28" spans="1:9" ht="12.75">
      <c r="A28" s="4"/>
      <c r="B28" s="4"/>
      <c r="C28" s="4"/>
      <c r="D28" s="4"/>
      <c r="E28" s="4"/>
      <c r="F28" s="4"/>
      <c r="G28" s="4"/>
      <c r="H28" s="4"/>
      <c r="I28" s="4"/>
    </row>
    <row r="29" spans="1:9" ht="12.75">
      <c r="A29" s="4"/>
      <c r="B29" s="4"/>
      <c r="C29" s="4"/>
      <c r="D29" s="4"/>
      <c r="E29" s="4"/>
      <c r="F29" s="4"/>
      <c r="G29" s="4"/>
      <c r="H29" s="4"/>
      <c r="I29" s="4"/>
    </row>
    <row r="30" spans="1:9" ht="12.75">
      <c r="A30" s="4"/>
      <c r="B30" s="4"/>
      <c r="C30" s="4"/>
      <c r="D30" s="4"/>
      <c r="E30" s="4"/>
      <c r="F30" s="4"/>
      <c r="G30" s="4"/>
      <c r="H30" s="4"/>
      <c r="I30" s="4"/>
    </row>
    <row r="31" spans="1:9" ht="12.75">
      <c r="A31" s="4"/>
      <c r="B31" s="4"/>
      <c r="C31" s="4"/>
      <c r="D31" s="4"/>
      <c r="E31" s="4"/>
      <c r="F31" s="4"/>
      <c r="G31" s="4"/>
      <c r="H31" s="4"/>
      <c r="I31" s="4"/>
    </row>
    <row r="32" spans="1:9" ht="12.75">
      <c r="A32" s="4"/>
      <c r="B32" s="4"/>
      <c r="C32" s="4"/>
      <c r="D32" s="4"/>
      <c r="E32" s="4"/>
      <c r="F32" s="4"/>
      <c r="G32" s="4"/>
      <c r="H32" s="4"/>
      <c r="I32" s="4"/>
    </row>
    <row r="33" spans="1:9" ht="12.75">
      <c r="A33" s="4"/>
      <c r="B33" s="4"/>
      <c r="C33" s="4"/>
      <c r="D33" s="4"/>
      <c r="E33" s="4"/>
      <c r="F33" s="4"/>
      <c r="G33" s="4"/>
      <c r="H33" s="4"/>
      <c r="I33" s="4"/>
    </row>
    <row r="34" spans="1:9" ht="12.75">
      <c r="A34" s="4"/>
      <c r="B34" s="4"/>
      <c r="C34" s="4"/>
      <c r="D34" s="4"/>
      <c r="E34" s="4"/>
      <c r="F34" s="4"/>
      <c r="G34" s="4"/>
      <c r="H34" s="4"/>
      <c r="I34" s="4"/>
    </row>
    <row r="35" spans="1:9" ht="12.75">
      <c r="A35" s="4"/>
      <c r="B35" s="4"/>
      <c r="C35" s="4"/>
      <c r="D35" s="4"/>
      <c r="E35" s="4"/>
      <c r="F35" s="4"/>
      <c r="G35" s="4"/>
      <c r="H35" s="4"/>
      <c r="I35" s="4"/>
    </row>
    <row r="36" spans="1:9" ht="12.75">
      <c r="A36" s="4"/>
      <c r="B36" s="4"/>
      <c r="C36" s="4"/>
      <c r="D36" s="4"/>
      <c r="E36" s="4"/>
      <c r="F36" s="4"/>
      <c r="G36" s="4"/>
      <c r="H36" s="4"/>
      <c r="I36" s="4"/>
    </row>
    <row r="37" spans="1:9" ht="12.75">
      <c r="A37" s="4"/>
      <c r="B37" s="4"/>
      <c r="C37" s="4"/>
      <c r="D37" s="4"/>
      <c r="E37" s="4"/>
      <c r="F37" s="4"/>
      <c r="G37" s="4"/>
      <c r="H37" s="4"/>
      <c r="I37" s="4"/>
    </row>
    <row r="38" spans="1:9" ht="12.75">
      <c r="A38" s="4"/>
      <c r="B38" s="4"/>
      <c r="C38" s="4"/>
      <c r="D38" s="4"/>
      <c r="E38" s="4"/>
      <c r="F38" s="4"/>
      <c r="G38" s="4"/>
      <c r="H38" s="4"/>
      <c r="I38" s="4"/>
    </row>
    <row r="39" spans="1:9" ht="12.75">
      <c r="A39" s="4"/>
      <c r="B39" s="4"/>
      <c r="C39" s="4"/>
      <c r="D39" s="4"/>
      <c r="E39" s="4"/>
      <c r="F39" s="4"/>
      <c r="G39" s="4"/>
      <c r="H39" s="4"/>
      <c r="I39" s="4"/>
    </row>
    <row r="40" spans="1:9" ht="12.75">
      <c r="A40" s="4"/>
      <c r="B40" s="4"/>
      <c r="C40" s="4"/>
      <c r="D40" s="4"/>
      <c r="E40" s="4"/>
      <c r="F40" s="4"/>
      <c r="G40" s="4"/>
      <c r="H40" s="4"/>
      <c r="I40" s="4"/>
    </row>
    <row r="41" spans="1:9" ht="12.75">
      <c r="A41" s="4"/>
      <c r="B41" s="4"/>
      <c r="C41" s="4"/>
      <c r="D41" s="4"/>
      <c r="E41" s="4"/>
      <c r="F41" s="4"/>
      <c r="G41" s="4"/>
      <c r="H41" s="4"/>
      <c r="I41" s="4"/>
    </row>
    <row r="42" spans="1:9" ht="12.75">
      <c r="A42" s="4"/>
      <c r="B42" s="4"/>
      <c r="C42" s="4"/>
      <c r="D42" s="4"/>
      <c r="E42" s="4"/>
      <c r="F42" s="4"/>
      <c r="G42" s="4"/>
      <c r="H42" s="4"/>
      <c r="I42" s="4"/>
    </row>
    <row r="43" spans="1:9" ht="12.75">
      <c r="A43" s="4"/>
      <c r="B43" s="4"/>
      <c r="C43" s="4"/>
      <c r="D43" s="4"/>
      <c r="E43" s="4"/>
      <c r="F43" s="4"/>
      <c r="G43" s="4"/>
      <c r="H43" s="4"/>
      <c r="I43" s="4"/>
    </row>
    <row r="44" spans="1:9" ht="12.75">
      <c r="A44" s="4"/>
      <c r="B44" s="4"/>
      <c r="C44" s="4"/>
      <c r="D44" s="4"/>
      <c r="E44" s="4"/>
      <c r="F44" s="4"/>
      <c r="G44" s="4"/>
      <c r="H44" s="4"/>
      <c r="I44" s="4"/>
    </row>
    <row r="45" spans="1:9" ht="12.75">
      <c r="A45" s="4"/>
      <c r="B45" s="4"/>
      <c r="C45" s="4"/>
      <c r="D45" s="4"/>
      <c r="E45" s="4"/>
      <c r="F45" s="4"/>
      <c r="G45" s="4"/>
      <c r="H45" s="4"/>
      <c r="I45" s="4"/>
    </row>
    <row r="46" spans="1:9" ht="12.75">
      <c r="A46" s="4"/>
      <c r="B46" s="4"/>
      <c r="C46" s="4"/>
      <c r="D46" s="4"/>
      <c r="E46" s="4"/>
      <c r="F46" s="4"/>
      <c r="G46" s="4"/>
      <c r="H46" s="4"/>
      <c r="I46" s="4"/>
    </row>
    <row r="47" spans="1:9" ht="12.75">
      <c r="A47" s="4"/>
      <c r="B47" s="4"/>
      <c r="C47" s="4"/>
      <c r="D47" s="4"/>
      <c r="E47" s="4"/>
      <c r="F47" s="4"/>
      <c r="G47" s="4"/>
      <c r="H47" s="4"/>
      <c r="I47" s="4"/>
    </row>
    <row r="48" spans="1:9" ht="12.75">
      <c r="A48" s="193" t="s">
        <v>169</v>
      </c>
      <c r="B48" s="4"/>
      <c r="C48" s="4"/>
      <c r="D48" s="4"/>
      <c r="E48" s="4"/>
      <c r="F48" s="4"/>
      <c r="G48" s="4"/>
      <c r="H48" s="4"/>
      <c r="I48" s="4"/>
    </row>
    <row r="49" spans="1:9" ht="12.75">
      <c r="A49" s="4"/>
      <c r="B49" s="4"/>
      <c r="C49" s="4"/>
      <c r="D49" s="4"/>
      <c r="E49" s="4"/>
      <c r="F49" s="4"/>
      <c r="G49" s="4"/>
      <c r="H49" s="4"/>
      <c r="I49" s="4"/>
    </row>
  </sheetData>
  <mergeCells count="3">
    <mergeCell ref="C3:D3"/>
    <mergeCell ref="A10:C10"/>
    <mergeCell ref="A1:D1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D9" sqref="D9:E9"/>
    </sheetView>
  </sheetViews>
  <sheetFormatPr defaultColWidth="9.140625" defaultRowHeight="12.75"/>
  <sheetData>
    <row r="1" spans="1:13" ht="12.75">
      <c r="A1" s="338" t="s">
        <v>272</v>
      </c>
      <c r="B1" s="338"/>
      <c r="C1" s="338"/>
      <c r="D1" s="338"/>
      <c r="E1" s="338"/>
      <c r="F1" s="4"/>
      <c r="G1" s="4"/>
      <c r="H1" s="4"/>
      <c r="I1" s="4"/>
      <c r="J1" s="4"/>
      <c r="M1" s="5"/>
    </row>
    <row r="2" spans="1:9" ht="12.75">
      <c r="A2" s="4" t="s">
        <v>210</v>
      </c>
      <c r="B2" s="4"/>
      <c r="C2" s="4"/>
      <c r="D2" s="4"/>
      <c r="E2" s="4"/>
      <c r="F2" s="4"/>
      <c r="G2" s="8"/>
      <c r="H2" s="4"/>
      <c r="I2" s="4"/>
    </row>
    <row r="3" spans="1:9" ht="12.75">
      <c r="A3" s="4"/>
      <c r="B3" s="4"/>
      <c r="C3" s="4"/>
      <c r="D3" s="4"/>
      <c r="E3" s="4"/>
      <c r="F3" s="4"/>
      <c r="H3" s="4"/>
      <c r="I3" s="4"/>
    </row>
    <row r="4" spans="1:9" ht="12.75">
      <c r="A4" s="4" t="s">
        <v>211</v>
      </c>
      <c r="B4" s="4"/>
      <c r="C4" s="4"/>
      <c r="D4" s="4"/>
      <c r="E4" s="4"/>
      <c r="F4" s="4"/>
      <c r="G4" s="215"/>
      <c r="H4" s="4"/>
      <c r="I4" s="4"/>
    </row>
    <row r="5" spans="1:9" ht="12.75">
      <c r="A5" s="4"/>
      <c r="B5" s="4"/>
      <c r="C5" s="4"/>
      <c r="D5" s="4"/>
      <c r="E5" s="4"/>
      <c r="F5" s="4"/>
      <c r="H5" s="4"/>
      <c r="I5" s="4"/>
    </row>
    <row r="6" spans="1:9" ht="12.75">
      <c r="A6" s="4" t="s">
        <v>212</v>
      </c>
      <c r="B6" s="4"/>
      <c r="C6" s="4"/>
      <c r="D6" s="4"/>
      <c r="E6" s="4"/>
      <c r="F6" s="4"/>
      <c r="G6" s="31">
        <f>G2*G4</f>
        <v>0</v>
      </c>
      <c r="H6" s="4"/>
      <c r="I6" s="4"/>
    </row>
    <row r="7" spans="1:9" ht="12.75">
      <c r="A7" s="4"/>
      <c r="B7" s="4"/>
      <c r="C7" s="4"/>
      <c r="D7" s="4"/>
      <c r="E7" s="4"/>
      <c r="F7" s="4"/>
      <c r="G7" s="4"/>
      <c r="H7" s="4"/>
      <c r="I7" s="4"/>
    </row>
    <row r="8" spans="1:9" ht="15.75">
      <c r="A8" s="339" t="s">
        <v>279</v>
      </c>
      <c r="B8" s="340"/>
      <c r="C8" s="340"/>
      <c r="D8" s="340"/>
      <c r="E8" s="340"/>
      <c r="F8" s="340"/>
      <c r="G8" s="340"/>
      <c r="H8" s="340"/>
      <c r="I8" s="4"/>
    </row>
    <row r="9" spans="1:9" ht="16.5" thickBot="1">
      <c r="A9" s="346" t="s">
        <v>237</v>
      </c>
      <c r="B9" s="346"/>
      <c r="C9" s="346"/>
      <c r="D9" s="336"/>
      <c r="E9" s="336"/>
      <c r="F9" s="279"/>
      <c r="G9" s="335" t="str">
        <f>IF(D9=92541,"This is Correct!","Try again.")</f>
        <v>Try again.</v>
      </c>
      <c r="H9" s="335"/>
      <c r="I9" s="280"/>
    </row>
    <row r="10" spans="1:9" ht="12.75">
      <c r="A10" s="4"/>
      <c r="B10" s="4"/>
      <c r="C10" s="67"/>
      <c r="D10" s="67" t="s">
        <v>221</v>
      </c>
      <c r="E10" s="4"/>
      <c r="F10" s="4"/>
      <c r="G10" s="4"/>
      <c r="H10" s="4"/>
      <c r="I10" s="4"/>
    </row>
    <row r="11" spans="1:9" ht="12.75">
      <c r="A11" s="4"/>
      <c r="B11" s="4"/>
      <c r="C11" s="67">
        <v>1</v>
      </c>
      <c r="D11" s="60">
        <f>G2+G6</f>
        <v>0</v>
      </c>
      <c r="E11" s="4"/>
      <c r="F11" s="4"/>
      <c r="G11" s="4"/>
      <c r="H11" s="4"/>
      <c r="I11" s="4"/>
    </row>
    <row r="12" spans="1:9" ht="12.75">
      <c r="A12" s="4"/>
      <c r="B12" s="4"/>
      <c r="C12" s="67">
        <v>2</v>
      </c>
      <c r="D12" s="60">
        <f>D11+(G4*D11)</f>
        <v>0</v>
      </c>
      <c r="E12" s="4"/>
      <c r="F12" s="4"/>
      <c r="G12" s="4"/>
      <c r="H12" s="4"/>
      <c r="I12" s="4"/>
    </row>
    <row r="13" spans="1:9" ht="12.75">
      <c r="A13" s="4"/>
      <c r="B13" s="4"/>
      <c r="C13" s="67">
        <v>3</v>
      </c>
      <c r="D13" s="60">
        <f>D12+(G4*D12)</f>
        <v>0</v>
      </c>
      <c r="E13" s="4"/>
      <c r="F13" s="4"/>
      <c r="G13" s="4"/>
      <c r="H13" s="4"/>
      <c r="I13" s="4"/>
    </row>
    <row r="14" spans="1:9" ht="12.75">
      <c r="A14" s="4"/>
      <c r="B14" s="4"/>
      <c r="C14" s="67">
        <v>4</v>
      </c>
      <c r="D14" s="60">
        <f>D13+(G4*D13)</f>
        <v>0</v>
      </c>
      <c r="E14" s="4"/>
      <c r="F14" s="4"/>
      <c r="G14" s="4"/>
      <c r="H14" s="4"/>
      <c r="I14" s="4"/>
    </row>
    <row r="15" spans="1:9" ht="12.75">
      <c r="A15" s="4"/>
      <c r="B15" s="4"/>
      <c r="C15" s="67">
        <v>5</v>
      </c>
      <c r="D15" s="60">
        <f>D14+(G4*D14)</f>
        <v>0</v>
      </c>
      <c r="E15" s="4"/>
      <c r="F15" s="4"/>
      <c r="G15" s="4"/>
      <c r="H15" s="4"/>
      <c r="I15" s="4"/>
    </row>
    <row r="16" spans="1:9" ht="12.75">
      <c r="A16" s="4"/>
      <c r="B16" s="4"/>
      <c r="C16" s="4"/>
      <c r="D16" s="4"/>
      <c r="E16" s="4"/>
      <c r="F16" s="4"/>
      <c r="G16" s="4"/>
      <c r="H16" s="4"/>
      <c r="I16" s="4"/>
    </row>
    <row r="17" spans="1:9" ht="12.75">
      <c r="A17" s="4"/>
      <c r="B17" s="4"/>
      <c r="C17" s="4"/>
      <c r="D17" s="4"/>
      <c r="E17" s="4"/>
      <c r="F17" s="4"/>
      <c r="G17" s="4"/>
      <c r="H17" s="4"/>
      <c r="I17" s="4"/>
    </row>
    <row r="18" spans="1:9" ht="12.75">
      <c r="A18" s="4"/>
      <c r="B18" s="4"/>
      <c r="C18" s="4"/>
      <c r="D18" s="4"/>
      <c r="E18" s="4"/>
      <c r="F18" s="4"/>
      <c r="G18" s="4"/>
      <c r="H18" s="4"/>
      <c r="I18" s="4"/>
    </row>
    <row r="19" spans="1:9" ht="12.75">
      <c r="A19" s="4"/>
      <c r="B19" s="4"/>
      <c r="C19" s="4"/>
      <c r="D19" s="4"/>
      <c r="E19" s="4"/>
      <c r="F19" s="4"/>
      <c r="G19" s="4"/>
      <c r="H19" s="4"/>
      <c r="I19" s="4"/>
    </row>
    <row r="20" spans="1:9" ht="12.75">
      <c r="A20" s="4"/>
      <c r="B20" s="4"/>
      <c r="C20" s="4"/>
      <c r="D20" s="4"/>
      <c r="E20" s="4"/>
      <c r="F20" s="4"/>
      <c r="G20" s="4"/>
      <c r="H20" s="4"/>
      <c r="I20" s="4"/>
    </row>
    <row r="21" spans="1:9" ht="12.75">
      <c r="A21" s="4"/>
      <c r="B21" s="4"/>
      <c r="C21" s="4"/>
      <c r="D21" s="4"/>
      <c r="E21" s="4"/>
      <c r="F21" s="4"/>
      <c r="G21" s="4"/>
      <c r="H21" s="4"/>
      <c r="I21" s="4"/>
    </row>
    <row r="22" spans="1:9" ht="12.75">
      <c r="A22" s="4"/>
      <c r="B22" s="4"/>
      <c r="C22" s="4"/>
      <c r="D22" s="4"/>
      <c r="E22" s="4"/>
      <c r="F22" s="4"/>
      <c r="G22" s="4"/>
      <c r="H22" s="4"/>
      <c r="I22" s="4"/>
    </row>
    <row r="23" spans="1:9" ht="12.75">
      <c r="A23" s="4"/>
      <c r="B23" s="4"/>
      <c r="C23" s="4"/>
      <c r="D23" s="4"/>
      <c r="E23" s="4"/>
      <c r="F23" s="4"/>
      <c r="G23" s="4"/>
      <c r="H23" s="4"/>
      <c r="I23" s="4"/>
    </row>
    <row r="24" spans="1:9" ht="12.75">
      <c r="A24" s="4"/>
      <c r="B24" s="4"/>
      <c r="C24" s="4"/>
      <c r="D24" s="4"/>
      <c r="E24" s="4"/>
      <c r="F24" s="4"/>
      <c r="G24" s="4"/>
      <c r="H24" s="4"/>
      <c r="I24" s="4"/>
    </row>
    <row r="25" spans="1:9" ht="12.75">
      <c r="A25" s="4"/>
      <c r="B25" s="4"/>
      <c r="C25" s="4"/>
      <c r="D25" s="4"/>
      <c r="E25" s="4"/>
      <c r="F25" s="4"/>
      <c r="G25" s="4"/>
      <c r="H25" s="4"/>
      <c r="I25" s="4"/>
    </row>
    <row r="26" spans="1:9" ht="12.75">
      <c r="A26" s="4"/>
      <c r="B26" s="4"/>
      <c r="C26" s="4"/>
      <c r="D26" s="4"/>
      <c r="E26" s="4"/>
      <c r="F26" s="4"/>
      <c r="G26" s="4"/>
      <c r="H26" s="4"/>
      <c r="I26" s="4"/>
    </row>
    <row r="27" spans="1:9" ht="12.75">
      <c r="A27" s="4"/>
      <c r="B27" s="4"/>
      <c r="C27" s="4"/>
      <c r="D27" s="4"/>
      <c r="E27" s="4"/>
      <c r="F27" s="4"/>
      <c r="G27" s="4"/>
      <c r="H27" s="4"/>
      <c r="I27" s="4"/>
    </row>
    <row r="28" spans="1:9" ht="12.75">
      <c r="A28" s="4"/>
      <c r="B28" s="4"/>
      <c r="C28" s="4"/>
      <c r="D28" s="4"/>
      <c r="E28" s="4"/>
      <c r="F28" s="4"/>
      <c r="G28" s="4"/>
      <c r="H28" s="4"/>
      <c r="I28" s="4"/>
    </row>
    <row r="29" spans="1:9" ht="12.75">
      <c r="A29" s="4"/>
      <c r="B29" s="4"/>
      <c r="C29" s="4"/>
      <c r="D29" s="4"/>
      <c r="E29" s="4"/>
      <c r="F29" s="4"/>
      <c r="G29" s="4"/>
      <c r="H29" s="4"/>
      <c r="I29" s="4"/>
    </row>
    <row r="30" spans="1:9" ht="12.75">
      <c r="A30" s="4"/>
      <c r="B30" s="4"/>
      <c r="C30" s="4"/>
      <c r="D30" s="4"/>
      <c r="E30" s="4"/>
      <c r="F30" s="4"/>
      <c r="G30" s="4"/>
      <c r="H30" s="4"/>
      <c r="I30" s="4"/>
    </row>
    <row r="31" spans="1:9" ht="12.75">
      <c r="A31" s="4"/>
      <c r="B31" s="4"/>
      <c r="C31" s="4"/>
      <c r="D31" s="4"/>
      <c r="E31" s="4"/>
      <c r="F31" s="4"/>
      <c r="G31" s="4"/>
      <c r="H31" s="4"/>
      <c r="I31" s="4"/>
    </row>
    <row r="32" spans="1:9" ht="12.75">
      <c r="A32" s="4"/>
      <c r="B32" s="4"/>
      <c r="C32" s="4"/>
      <c r="D32" s="4"/>
      <c r="E32" s="4"/>
      <c r="F32" s="4"/>
      <c r="G32" s="4"/>
      <c r="H32" s="4"/>
      <c r="I32" s="4"/>
    </row>
    <row r="33" spans="1:9" ht="12.75">
      <c r="A33" s="4"/>
      <c r="B33" s="4"/>
      <c r="C33" s="4"/>
      <c r="D33" s="4"/>
      <c r="E33" s="4"/>
      <c r="F33" s="4"/>
      <c r="G33" s="4"/>
      <c r="H33" s="4"/>
      <c r="I33" s="4"/>
    </row>
    <row r="34" spans="1:9" ht="12.75">
      <c r="A34" s="4"/>
      <c r="B34" s="4"/>
      <c r="C34" s="4"/>
      <c r="D34" s="4"/>
      <c r="E34" s="4"/>
      <c r="F34" s="4"/>
      <c r="G34" s="4"/>
      <c r="H34" s="4"/>
      <c r="I34" s="4"/>
    </row>
    <row r="35" spans="1:9" ht="12.75">
      <c r="A35" s="4"/>
      <c r="B35" s="4"/>
      <c r="C35" s="4"/>
      <c r="D35" s="4"/>
      <c r="E35" s="4"/>
      <c r="F35" s="4"/>
      <c r="G35" s="4"/>
      <c r="H35" s="4"/>
      <c r="I35" s="4"/>
    </row>
    <row r="36" spans="1:9" ht="12.75">
      <c r="A36" s="4"/>
      <c r="B36" s="4"/>
      <c r="C36" s="4"/>
      <c r="D36" s="4"/>
      <c r="E36" s="4"/>
      <c r="F36" s="4"/>
      <c r="G36" s="4"/>
      <c r="H36" s="4"/>
      <c r="I36" s="4"/>
    </row>
    <row r="37" spans="1:9" ht="12.75">
      <c r="A37" s="4"/>
      <c r="B37" s="4"/>
      <c r="C37" s="4"/>
      <c r="D37" s="4"/>
      <c r="E37" s="4"/>
      <c r="F37" s="4"/>
      <c r="G37" s="4"/>
      <c r="H37" s="4"/>
      <c r="I37" s="4"/>
    </row>
    <row r="38" spans="1:9" ht="12.75">
      <c r="A38" s="4"/>
      <c r="B38" s="4"/>
      <c r="C38" s="4"/>
      <c r="D38" s="4"/>
      <c r="E38" s="4"/>
      <c r="F38" s="4"/>
      <c r="G38" s="4"/>
      <c r="H38" s="4"/>
      <c r="I38" s="4"/>
    </row>
    <row r="39" spans="1:9" ht="12.75">
      <c r="A39" s="4"/>
      <c r="B39" s="4"/>
      <c r="C39" s="4"/>
      <c r="D39" s="4"/>
      <c r="E39" s="4"/>
      <c r="F39" s="4"/>
      <c r="G39" s="4"/>
      <c r="H39" s="4"/>
      <c r="I39" s="4"/>
    </row>
    <row r="40" spans="1:9" ht="12.75">
      <c r="A40" s="4"/>
      <c r="B40" s="4"/>
      <c r="C40" s="4"/>
      <c r="D40" s="4"/>
      <c r="E40" s="4"/>
      <c r="F40" s="4"/>
      <c r="G40" s="4"/>
      <c r="H40" s="4"/>
      <c r="I40" s="4"/>
    </row>
    <row r="41" spans="1:9" ht="12.75">
      <c r="A41" s="4"/>
      <c r="B41" s="4"/>
      <c r="C41" s="4"/>
      <c r="D41" s="4"/>
      <c r="E41" s="4"/>
      <c r="F41" s="4"/>
      <c r="G41" s="4"/>
      <c r="H41" s="4"/>
      <c r="I41" s="4"/>
    </row>
    <row r="42" spans="1:9" ht="12.75">
      <c r="A42" s="4"/>
      <c r="B42" s="4"/>
      <c r="C42" s="4"/>
      <c r="D42" s="4"/>
      <c r="E42" s="4"/>
      <c r="F42" s="4"/>
      <c r="G42" s="4"/>
      <c r="H42" s="4"/>
      <c r="I42" s="4"/>
    </row>
    <row r="43" spans="1:9" ht="12.75">
      <c r="A43" s="4"/>
      <c r="B43" s="4"/>
      <c r="C43" s="4"/>
      <c r="D43" s="4"/>
      <c r="E43" s="4"/>
      <c r="F43" s="4"/>
      <c r="G43" s="4"/>
      <c r="H43" s="4"/>
      <c r="I43" s="4"/>
    </row>
    <row r="44" spans="1:9" ht="12.75">
      <c r="A44" s="4" t="s">
        <v>226</v>
      </c>
      <c r="B44" s="4"/>
      <c r="C44" s="4"/>
      <c r="D44" s="4"/>
      <c r="E44" s="4"/>
      <c r="F44" s="4"/>
      <c r="G44" s="4"/>
      <c r="H44" s="4"/>
      <c r="I44" s="4"/>
    </row>
    <row r="45" spans="1:9" ht="12.75">
      <c r="A45" s="4"/>
      <c r="B45" s="4"/>
      <c r="C45" s="4"/>
      <c r="D45" s="4"/>
      <c r="E45" s="4"/>
      <c r="F45" s="4"/>
      <c r="G45" s="4"/>
      <c r="H45" s="4"/>
      <c r="I45" s="4"/>
    </row>
    <row r="46" spans="1:9" ht="12.75">
      <c r="A46" s="4"/>
      <c r="B46" s="4"/>
      <c r="C46" s="4"/>
      <c r="D46" s="4"/>
      <c r="E46" s="4"/>
      <c r="F46" s="4"/>
      <c r="G46" s="4"/>
      <c r="H46" s="4"/>
      <c r="I46" s="4"/>
    </row>
    <row r="47" spans="1:9" ht="12.75">
      <c r="A47" s="4"/>
      <c r="B47" s="4"/>
      <c r="C47" s="4"/>
      <c r="D47" s="4"/>
      <c r="E47" s="4"/>
      <c r="F47" s="4"/>
      <c r="G47" s="4"/>
      <c r="H47" s="4"/>
      <c r="I47" s="4"/>
    </row>
    <row r="48" spans="1:9" ht="12.75">
      <c r="A48" s="4"/>
      <c r="B48" s="4"/>
      <c r="C48" s="4"/>
      <c r="D48" s="4"/>
      <c r="E48" s="4"/>
      <c r="F48" s="4"/>
      <c r="G48" s="4"/>
      <c r="H48" s="4"/>
      <c r="I48" s="4"/>
    </row>
    <row r="49" spans="1:9" ht="12.75">
      <c r="A49" s="4"/>
      <c r="B49" s="4"/>
      <c r="C49" s="4"/>
      <c r="D49" s="4"/>
      <c r="E49" s="4"/>
      <c r="F49" s="4"/>
      <c r="G49" s="4"/>
      <c r="H49" s="4"/>
      <c r="I49" s="4"/>
    </row>
    <row r="50" spans="1:9" ht="12.75">
      <c r="A50" s="193" t="s">
        <v>169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4"/>
      <c r="B51" s="4"/>
      <c r="C51" s="4"/>
      <c r="D51" s="4"/>
      <c r="E51" s="4"/>
      <c r="F51" s="4"/>
      <c r="G51" s="4"/>
      <c r="H51" s="4"/>
      <c r="I51" s="4"/>
    </row>
  </sheetData>
  <mergeCells count="5">
    <mergeCell ref="A1:E1"/>
    <mergeCell ref="A8:H8"/>
    <mergeCell ref="A9:C9"/>
    <mergeCell ref="D9:E9"/>
    <mergeCell ref="G9:H9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1"/>
  <sheetViews>
    <sheetView zoomScale="85" zoomScaleNormal="85" workbookViewId="0" topLeftCell="A1">
      <selection activeCell="G28" sqref="G28"/>
    </sheetView>
  </sheetViews>
  <sheetFormatPr defaultColWidth="9.140625" defaultRowHeight="12.75"/>
  <cols>
    <col min="1" max="1" width="18.7109375" style="0" customWidth="1"/>
    <col min="3" max="3" width="2.7109375" style="0" customWidth="1"/>
    <col min="4" max="4" width="11.7109375" style="0" customWidth="1"/>
    <col min="5" max="5" width="10.7109375" style="0" bestFit="1" customWidth="1"/>
    <col min="8" max="8" width="7.7109375" style="0" customWidth="1"/>
    <col min="9" max="9" width="5.7109375" style="0" hidden="1" customWidth="1"/>
  </cols>
  <sheetData>
    <row r="1" spans="1:10" ht="12.75">
      <c r="A1" s="338" t="s">
        <v>273</v>
      </c>
      <c r="B1" s="338"/>
      <c r="C1" s="338"/>
      <c r="D1" s="338"/>
      <c r="E1" s="58"/>
      <c r="F1" s="59"/>
      <c r="G1" s="4"/>
      <c r="H1" s="4"/>
      <c r="I1" s="4"/>
      <c r="J1" s="4"/>
    </row>
    <row r="2" spans="1:10" ht="12.75" hidden="1">
      <c r="A2" s="22" t="s">
        <v>84</v>
      </c>
      <c r="B2" s="18"/>
      <c r="C2" s="18"/>
      <c r="D2" s="66" t="s">
        <v>121</v>
      </c>
      <c r="E2" s="66" t="s">
        <v>96</v>
      </c>
      <c r="F2" s="4"/>
      <c r="G2" s="4"/>
      <c r="H2" s="22"/>
      <c r="J2" s="4"/>
    </row>
    <row r="3" spans="1:10" ht="12.75" hidden="1">
      <c r="A3" s="4" t="s">
        <v>118</v>
      </c>
      <c r="B3" s="4"/>
      <c r="C3" s="4"/>
      <c r="D3" s="69">
        <f>7DiscountedCost!G14</f>
        <v>0</v>
      </c>
      <c r="E3" s="62">
        <f>D3</f>
        <v>0</v>
      </c>
      <c r="F3" s="4"/>
      <c r="G3" s="61"/>
      <c r="H3" s="4"/>
      <c r="I3" s="148">
        <f>3LifeCare!$C$24</f>
        <v>0</v>
      </c>
      <c r="J3" s="4"/>
    </row>
    <row r="4" spans="1:10" ht="12.75" hidden="1">
      <c r="A4" s="4" t="s">
        <v>122</v>
      </c>
      <c r="B4" s="4"/>
      <c r="C4" s="4"/>
      <c r="D4" s="72">
        <f>7DiscountedCost!C6</f>
        <v>0</v>
      </c>
      <c r="E4" s="63">
        <f>D4</f>
        <v>0</v>
      </c>
      <c r="F4" s="4"/>
      <c r="G4" s="61"/>
      <c r="H4" s="4"/>
      <c r="I4" s="4"/>
      <c r="J4" s="4"/>
    </row>
    <row r="5" spans="1:10" ht="12.75" hidden="1">
      <c r="A5" s="77" t="s">
        <v>100</v>
      </c>
      <c r="B5" s="76"/>
      <c r="C5" s="76"/>
      <c r="D5" s="73">
        <f>SUM(D3:D4)</f>
        <v>0</v>
      </c>
      <c r="E5" s="73">
        <f>D5</f>
        <v>0</v>
      </c>
      <c r="F5" s="19"/>
      <c r="G5" s="61"/>
      <c r="H5" s="4"/>
      <c r="I5" s="4"/>
      <c r="J5" s="4"/>
    </row>
    <row r="6" spans="1:10" ht="12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22" t="s">
        <v>86</v>
      </c>
      <c r="B7" s="22"/>
      <c r="C7" s="22"/>
      <c r="D7" s="66" t="s">
        <v>121</v>
      </c>
      <c r="E7" s="66" t="s">
        <v>96</v>
      </c>
      <c r="F7" s="331" t="s">
        <v>97</v>
      </c>
      <c r="G7" s="331"/>
      <c r="H7" s="22"/>
      <c r="J7" s="4"/>
    </row>
    <row r="8" spans="1:10" ht="12.75">
      <c r="A8" s="78" t="s">
        <v>69</v>
      </c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4" t="s">
        <v>134</v>
      </c>
      <c r="B9" s="4"/>
      <c r="C9" s="4"/>
      <c r="D9" s="69">
        <f>E9</f>
        <v>0</v>
      </c>
      <c r="E9" s="69">
        <f>3LifeCare!B14</f>
        <v>0</v>
      </c>
      <c r="F9" s="4"/>
      <c r="G9" s="4"/>
      <c r="H9" s="4"/>
      <c r="I9" s="4"/>
      <c r="J9" s="4"/>
    </row>
    <row r="10" spans="1:10" ht="12.75">
      <c r="A10" s="4" t="s">
        <v>135</v>
      </c>
      <c r="B10" s="4"/>
      <c r="C10" s="4"/>
      <c r="D10" s="69">
        <f>3LifeCare!B27</f>
        <v>0</v>
      </c>
      <c r="E10" s="69"/>
      <c r="F10" s="4"/>
      <c r="G10" s="4"/>
      <c r="H10" s="4"/>
      <c r="I10" s="148">
        <f>3LifeCare!$C$24</f>
        <v>0</v>
      </c>
      <c r="J10" s="4"/>
    </row>
    <row r="11" spans="1:10" ht="12.75">
      <c r="A11" s="4" t="s">
        <v>176</v>
      </c>
      <c r="B11" s="4"/>
      <c r="C11" s="4"/>
      <c r="D11" s="69">
        <f>-4CostDistribution!F67</f>
        <v>0</v>
      </c>
      <c r="E11" s="69">
        <f>-D11</f>
        <v>0</v>
      </c>
      <c r="F11" s="4"/>
      <c r="G11" s="4"/>
      <c r="H11" s="4"/>
      <c r="I11" s="148">
        <f>3LifeCare!$C$24</f>
        <v>0</v>
      </c>
      <c r="J11" s="4"/>
    </row>
    <row r="12" spans="1:10" ht="12.75">
      <c r="A12" s="4" t="s">
        <v>177</v>
      </c>
      <c r="B12" s="4"/>
      <c r="C12" s="4"/>
      <c r="D12" s="69">
        <f>-4CostDistribution!G67</f>
        <v>0</v>
      </c>
      <c r="E12" s="69">
        <f>-D12</f>
        <v>0</v>
      </c>
      <c r="F12" s="4"/>
      <c r="G12" s="4"/>
      <c r="H12" s="4"/>
      <c r="I12" s="148">
        <f>3LifeCare!$C$24</f>
        <v>0</v>
      </c>
      <c r="J12" s="4"/>
    </row>
    <row r="13" spans="1:10" ht="12.75">
      <c r="A13" s="4" t="s">
        <v>136</v>
      </c>
      <c r="B13" s="4"/>
      <c r="C13" s="4"/>
      <c r="D13" s="72">
        <f>-4CostDistribution!E67</f>
        <v>0</v>
      </c>
      <c r="E13" s="72">
        <f>-D13</f>
        <v>0</v>
      </c>
      <c r="F13" s="79"/>
      <c r="G13" s="80"/>
      <c r="H13" s="4"/>
      <c r="I13" s="148">
        <f>3LifeCare!$C$24</f>
        <v>0</v>
      </c>
      <c r="J13" s="4"/>
    </row>
    <row r="14" spans="1:10" ht="12.75">
      <c r="A14" s="4"/>
      <c r="B14" s="4" t="s">
        <v>71</v>
      </c>
      <c r="D14" s="31">
        <f>SUM(D9:D13)</f>
        <v>0</v>
      </c>
      <c r="E14" s="31">
        <f>SUM(E9:E13)</f>
        <v>0</v>
      </c>
      <c r="F14" s="71"/>
      <c r="G14" s="81"/>
      <c r="H14" s="4"/>
      <c r="I14" s="4"/>
      <c r="J14" s="4"/>
    </row>
    <row r="15" spans="1:10" ht="12.75">
      <c r="A15" s="78" t="s">
        <v>93</v>
      </c>
      <c r="B15" s="4"/>
      <c r="C15" s="4"/>
      <c r="D15" s="4" t="s">
        <v>74</v>
      </c>
      <c r="E15" s="4"/>
      <c r="F15" s="4" t="s">
        <v>81</v>
      </c>
      <c r="G15" s="4" t="s">
        <v>82</v>
      </c>
      <c r="H15" s="4" t="s">
        <v>80</v>
      </c>
      <c r="I15" s="4"/>
      <c r="J15" s="4"/>
    </row>
    <row r="16" spans="1:10" ht="12.75">
      <c r="A16" s="4" t="s">
        <v>152</v>
      </c>
      <c r="B16" s="4"/>
      <c r="C16" s="4"/>
      <c r="D16" s="69">
        <f>E16</f>
        <v>0</v>
      </c>
      <c r="E16" s="69">
        <f>F16*G16</f>
        <v>0</v>
      </c>
      <c r="F16" s="8"/>
      <c r="G16" s="147"/>
      <c r="H16" s="4" t="s">
        <v>147</v>
      </c>
      <c r="I16" s="4"/>
      <c r="J16" s="4"/>
    </row>
    <row r="17" spans="1:10" ht="12.75">
      <c r="A17" s="4" t="s">
        <v>148</v>
      </c>
      <c r="B17" s="4"/>
      <c r="C17" s="4"/>
      <c r="D17" s="69">
        <v>0</v>
      </c>
      <c r="E17" s="69">
        <f>F17*G17</f>
        <v>0</v>
      </c>
      <c r="F17" s="8"/>
      <c r="G17" s="147"/>
      <c r="H17" s="4" t="s">
        <v>149</v>
      </c>
      <c r="I17" s="4"/>
      <c r="J17" s="4"/>
    </row>
    <row r="18" spans="1:10" ht="12.75">
      <c r="A18" s="4" t="s">
        <v>150</v>
      </c>
      <c r="B18" s="4"/>
      <c r="C18" s="4"/>
      <c r="D18" s="69">
        <v>0</v>
      </c>
      <c r="E18" s="69">
        <f>F18*G18</f>
        <v>0</v>
      </c>
      <c r="F18" s="8"/>
      <c r="G18" s="147"/>
      <c r="H18" s="4" t="s">
        <v>95</v>
      </c>
      <c r="I18" s="4"/>
      <c r="J18" s="4"/>
    </row>
    <row r="19" spans="1:10" ht="12.75">
      <c r="A19" s="4" t="s">
        <v>286</v>
      </c>
      <c r="B19" s="4"/>
      <c r="C19" s="18"/>
      <c r="D19" s="69">
        <f>E19</f>
        <v>0</v>
      </c>
      <c r="E19" s="69">
        <f>-PV(3LifeCare!C24,G19,F19)</f>
        <v>0</v>
      </c>
      <c r="F19" s="8"/>
      <c r="G19" s="147"/>
      <c r="H19" s="4" t="s">
        <v>23</v>
      </c>
      <c r="I19" s="148">
        <f>3LifeCare!$C$24</f>
        <v>0</v>
      </c>
      <c r="J19" s="4"/>
    </row>
    <row r="20" spans="1:10" ht="12.75">
      <c r="A20" s="4" t="s">
        <v>153</v>
      </c>
      <c r="B20" s="4"/>
      <c r="C20" s="4"/>
      <c r="D20" s="69">
        <f>E20</f>
        <v>0</v>
      </c>
      <c r="E20" s="69">
        <f>-PV(3LifeCare!C24,G20,F20)</f>
        <v>0</v>
      </c>
      <c r="F20" s="8"/>
      <c r="G20" s="147"/>
      <c r="H20" s="4" t="s">
        <v>23</v>
      </c>
      <c r="I20" s="148">
        <f>3LifeCare!$C$24</f>
        <v>0</v>
      </c>
      <c r="J20" s="4"/>
    </row>
    <row r="21" spans="1:10" ht="12.75">
      <c r="A21" s="4" t="s">
        <v>172</v>
      </c>
      <c r="B21" s="4"/>
      <c r="C21" s="18"/>
      <c r="D21" s="69">
        <f>E21</f>
        <v>0</v>
      </c>
      <c r="E21" s="69">
        <f>F21*G21</f>
        <v>0</v>
      </c>
      <c r="F21" s="8"/>
      <c r="G21" s="216"/>
      <c r="H21" s="4" t="s">
        <v>173</v>
      </c>
      <c r="I21" s="4"/>
      <c r="J21" s="4"/>
    </row>
    <row r="22" spans="1:10" ht="12.75">
      <c r="A22" s="4" t="s">
        <v>213</v>
      </c>
      <c r="B22" s="4"/>
      <c r="C22" s="4"/>
      <c r="D22" s="214">
        <f>E22</f>
        <v>0</v>
      </c>
      <c r="E22" s="214">
        <f>6Interest!G6</f>
        <v>0</v>
      </c>
      <c r="F22" s="69"/>
      <c r="G22" s="110"/>
      <c r="H22" s="4"/>
      <c r="I22" s="4"/>
      <c r="J22" s="4"/>
    </row>
    <row r="23" spans="1:10" ht="13.5" thickBot="1">
      <c r="A23" s="4" t="s">
        <v>99</v>
      </c>
      <c r="B23" s="4"/>
      <c r="C23" s="4"/>
      <c r="D23" s="69">
        <f>-PV(3LifeCare!C24,G23,F23)</f>
        <v>0</v>
      </c>
      <c r="E23" s="69">
        <f>2*D23</f>
        <v>0</v>
      </c>
      <c r="F23" s="8"/>
      <c r="G23" s="147"/>
      <c r="H23" s="4" t="s">
        <v>23</v>
      </c>
      <c r="I23" s="148">
        <f>3LifeCare!$C$24</f>
        <v>0</v>
      </c>
      <c r="J23" s="4"/>
    </row>
    <row r="24" spans="1:10" ht="13.5" thickBot="1">
      <c r="A24" s="4"/>
      <c r="B24" s="4" t="s">
        <v>71</v>
      </c>
      <c r="D24" s="48">
        <f>SUM(D16:D23)</f>
        <v>0</v>
      </c>
      <c r="E24" s="32">
        <f>SUM(E16:E23)</f>
        <v>0</v>
      </c>
      <c r="F24" s="69"/>
      <c r="G24" s="4"/>
      <c r="H24" s="4"/>
      <c r="I24" s="4"/>
      <c r="J24" s="4"/>
    </row>
    <row r="25" spans="1:10" ht="13.5" thickTop="1">
      <c r="A25" s="77" t="s">
        <v>76</v>
      </c>
      <c r="B25" s="4"/>
      <c r="C25" s="4"/>
      <c r="D25" s="74">
        <f>D14+D24</f>
        <v>0</v>
      </c>
      <c r="E25" s="73">
        <f>E14+E24</f>
        <v>0</v>
      </c>
      <c r="F25" s="71"/>
      <c r="G25" s="4"/>
      <c r="H25" s="4"/>
      <c r="I25" s="4"/>
      <c r="J25" s="4"/>
    </row>
    <row r="26" spans="1:10" ht="12.75">
      <c r="A26" s="4"/>
      <c r="B26" s="4"/>
      <c r="C26" s="4"/>
      <c r="D26" s="4"/>
      <c r="E26" s="71"/>
      <c r="F26" s="69"/>
      <c r="G26" s="71"/>
      <c r="H26" s="4"/>
      <c r="I26" s="4"/>
      <c r="J26" s="4"/>
    </row>
    <row r="27" spans="1:10" ht="15.75">
      <c r="A27" s="299" t="s">
        <v>287</v>
      </c>
      <c r="B27" s="67"/>
      <c r="C27" s="67"/>
      <c r="D27" s="67"/>
      <c r="E27" s="67"/>
      <c r="F27" s="4"/>
      <c r="G27" s="4"/>
      <c r="H27" s="4"/>
      <c r="I27" s="4"/>
      <c r="J27" s="4"/>
    </row>
    <row r="28" spans="1:10" ht="16.5" thickBot="1">
      <c r="A28" s="293" t="s">
        <v>238</v>
      </c>
      <c r="B28" s="67"/>
      <c r="C28" s="341"/>
      <c r="D28" s="341"/>
      <c r="E28" s="67"/>
      <c r="F28" s="281" t="b">
        <f>EXACT(C28,"others")</f>
        <v>0</v>
      </c>
      <c r="G28" s="4"/>
      <c r="H28" s="4"/>
      <c r="I28" s="4"/>
      <c r="J28" s="4"/>
    </row>
    <row r="29" spans="1:10" ht="12.75">
      <c r="A29" s="67"/>
      <c r="B29" s="67"/>
      <c r="C29" s="67"/>
      <c r="D29" s="67"/>
      <c r="E29" s="67"/>
      <c r="F29" s="4"/>
      <c r="G29" s="4"/>
      <c r="H29" s="4"/>
      <c r="I29" s="4"/>
      <c r="J29" s="4"/>
    </row>
    <row r="30" spans="1:10" ht="12.75">
      <c r="A30" s="67"/>
      <c r="B30" s="4"/>
      <c r="C30" s="4" t="s">
        <v>86</v>
      </c>
      <c r="D30" s="60"/>
      <c r="E30" s="67"/>
      <c r="F30" s="4"/>
      <c r="G30" s="4"/>
      <c r="H30" s="4"/>
      <c r="I30" s="4"/>
      <c r="J30" s="4"/>
    </row>
    <row r="31" spans="1:10" ht="12.75">
      <c r="A31" s="67"/>
      <c r="B31" s="4" t="s">
        <v>121</v>
      </c>
      <c r="C31" s="71">
        <f>D25</f>
        <v>0</v>
      </c>
      <c r="D31" s="60"/>
      <c r="E31" s="67"/>
      <c r="F31" s="4"/>
      <c r="G31" s="4"/>
      <c r="H31" s="4"/>
      <c r="I31" s="4"/>
      <c r="J31" s="4"/>
    </row>
    <row r="32" spans="1:10" ht="12.75">
      <c r="A32" s="67"/>
      <c r="B32" s="4" t="s">
        <v>214</v>
      </c>
      <c r="C32" s="71">
        <f>E25-D25</f>
        <v>0</v>
      </c>
      <c r="D32" s="67"/>
      <c r="E32" s="67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2.7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2.7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2.7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2.7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2.7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2.7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2.7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2.7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2.7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2.7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2.7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4" t="s">
        <v>169</v>
      </c>
      <c r="B49" s="4"/>
      <c r="C49" s="4"/>
      <c r="D49" s="4"/>
      <c r="E49" s="4"/>
      <c r="F49" s="4"/>
      <c r="G49" s="4"/>
      <c r="H49" s="4"/>
      <c r="I49" s="4"/>
      <c r="J49" s="4"/>
    </row>
    <row r="50" spans="2:10" ht="12.75">
      <c r="B50" s="4"/>
      <c r="C50" s="4"/>
      <c r="D50" s="4"/>
      <c r="E50" s="4"/>
      <c r="F50" s="4"/>
      <c r="G50" s="4"/>
      <c r="H50" s="4"/>
      <c r="I50" s="4"/>
      <c r="J50" s="4"/>
    </row>
    <row r="51" ht="12.75">
      <c r="J51" s="4"/>
    </row>
  </sheetData>
  <mergeCells count="3">
    <mergeCell ref="A1:D1"/>
    <mergeCell ref="F7:G7"/>
    <mergeCell ref="C28:D28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Melvin Myers</cp:lastModifiedBy>
  <cp:lastPrinted>2005-07-13T21:57:26Z</cp:lastPrinted>
  <dcterms:created xsi:type="dcterms:W3CDTF">2004-10-12T22:56:54Z</dcterms:created>
  <dcterms:modified xsi:type="dcterms:W3CDTF">2005-07-19T23:03:30Z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1315994723</vt:i4>
  </property>
  <property fmtid="{D5CDD505-2E9C-101B-9397-08002B2CF9AE}" pid="3" name="_EmailSubject">
    <vt:lpwstr>Agenda</vt:lpwstr>
  </property>
  <property fmtid="{D5CDD505-2E9C-101B-9397-08002B2CF9AE}" pid="4" name="_AuthorEmail">
    <vt:lpwstr>melmyers@bellsouth.net</vt:lpwstr>
  </property>
  <property fmtid="{D5CDD505-2E9C-101B-9397-08002B2CF9AE}" pid="5" name="_AuthorEmailDisplayName">
    <vt:lpwstr>Melvin L. Myers</vt:lpwstr>
  </property>
  <property fmtid="{D5CDD505-2E9C-101B-9397-08002B2CF9AE}" pid="6" name="_PreviousAdHocReviewCycleID">
    <vt:i4>1279389951</vt:i4>
  </property>
</Properties>
</file>